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20" windowWidth="15165" windowHeight="10155" activeTab="0"/>
  </bookViews>
  <sheets>
    <sheet name="Surface damage BK7" sheetId="1" r:id="rId1"/>
    <sheet name="E6 Crack Growth" sheetId="2" r:id="rId2"/>
    <sheet name="Surface damage Zerodur" sheetId="3" r:id="rId3"/>
    <sheet name="Zerodur strength" sheetId="4" r:id="rId4"/>
  </sheets>
  <externalReferences>
    <externalReference r:id="rId7"/>
  </externalReferences>
  <definedNames>
    <definedName name="me">'[1]Sheet1'!$E$3</definedName>
    <definedName name="pi" localSheetId="0">'Surface damage BK7'!$G$58</definedName>
    <definedName name="pi">'Surface damage Zerodur'!$G$58</definedName>
    <definedName name="_xlnm.Print_Area" localSheetId="0">'Surface damage BK7'!$A$1:$AD$48</definedName>
    <definedName name="_xlnm.Print_Area" localSheetId="2">'Surface damage Zerodur'!$A$1:$AD$54</definedName>
    <definedName name="t">'[1]Sheet1'!$P$2</definedName>
  </definedNames>
  <calcPr fullCalcOnLoad="1"/>
</workbook>
</file>

<file path=xl/sharedStrings.xml><?xml version="1.0" encoding="utf-8"?>
<sst xmlns="http://schemas.openxmlformats.org/spreadsheetml/2006/main" count="607" uniqueCount="197">
  <si>
    <t>Strength of Zerodur</t>
  </si>
  <si>
    <t>Glass Strength Parameters</t>
  </si>
  <si>
    <t>Glass</t>
  </si>
  <si>
    <t>Grit</t>
  </si>
  <si>
    <t>Sigma</t>
  </si>
  <si>
    <t>Lambda</t>
  </si>
  <si>
    <t>Mpa</t>
  </si>
  <si>
    <t>Zerodur</t>
  </si>
  <si>
    <t>n</t>
  </si>
  <si>
    <t>Environment</t>
  </si>
  <si>
    <t>SiC 600</t>
  </si>
  <si>
    <t>SiC 320</t>
  </si>
  <si>
    <t>SiC 230</t>
  </si>
  <si>
    <t>SiC 100</t>
  </si>
  <si>
    <t>D 15 A</t>
  </si>
  <si>
    <t>D 35</t>
  </si>
  <si>
    <t>D 64</t>
  </si>
  <si>
    <t>D 151</t>
  </si>
  <si>
    <t>D 251</t>
  </si>
  <si>
    <t>Opt-polish</t>
  </si>
  <si>
    <t>D 64 etched</t>
  </si>
  <si>
    <t>SiC 600 at 70K</t>
  </si>
  <si>
    <t>Zerodur M</t>
  </si>
  <si>
    <t>Zerodur glass</t>
  </si>
  <si>
    <t xml:space="preserve"> Air 50%</t>
  </si>
  <si>
    <t xml:space="preserve"> Water</t>
  </si>
  <si>
    <t>Grain Sizes</t>
  </si>
  <si>
    <t xml:space="preserve">Mean </t>
  </si>
  <si>
    <t>Max</t>
  </si>
  <si>
    <t>ASTM equiv</t>
  </si>
  <si>
    <t>u-m</t>
  </si>
  <si>
    <t>Bonded Diamond grains</t>
  </si>
  <si>
    <t>D 107</t>
  </si>
  <si>
    <t>D 15A</t>
  </si>
  <si>
    <t>60/70</t>
  </si>
  <si>
    <t>100/120</t>
  </si>
  <si>
    <t>140/170</t>
  </si>
  <si>
    <t>230/270</t>
  </si>
  <si>
    <t>Loose SiC grains</t>
  </si>
  <si>
    <t xml:space="preserve"> Test Area = </t>
  </si>
  <si>
    <t>mm^2</t>
  </si>
  <si>
    <t>Equations:</t>
  </si>
  <si>
    <t>Sallowed=</t>
  </si>
  <si>
    <t>Sigma/Ffos</t>
  </si>
  <si>
    <t>Ffos =</t>
  </si>
  <si>
    <t>Fa*Fp*Ff</t>
  </si>
  <si>
    <t>Factor of safety</t>
  </si>
  <si>
    <t>Allowable Stress</t>
  </si>
  <si>
    <t>Fa =</t>
  </si>
  <si>
    <t>(Sv/SL)^1/Lambda</t>
  </si>
  <si>
    <t>Area Factor, Sv=stressed area</t>
  </si>
  <si>
    <t xml:space="preserve"> </t>
  </si>
  <si>
    <t xml:space="preserve">    SL=test stressed area</t>
  </si>
  <si>
    <t>Fp =</t>
  </si>
  <si>
    <t>1/(ln(1/(1-Fv))^1/lambda)</t>
  </si>
  <si>
    <t>Probability factor</t>
  </si>
  <si>
    <t>Fv=failure probability</t>
  </si>
  <si>
    <t xml:space="preserve">Ff = </t>
  </si>
  <si>
    <t>tv=stress load duration time, seconds</t>
  </si>
  <si>
    <t>(tv/tL)^1/n</t>
  </si>
  <si>
    <t>tL=Lab stress duration time, seconds</t>
  </si>
  <si>
    <t>Approximation for n,</t>
  </si>
  <si>
    <t>n=38-2.6*CTE</t>
  </si>
  <si>
    <t>CTE is 10-6/K</t>
  </si>
  <si>
    <t>Strength Calculator</t>
  </si>
  <si>
    <t>Glass Parameters:</t>
  </si>
  <si>
    <t xml:space="preserve">  Sigma, Lambda, n=</t>
  </si>
  <si>
    <t xml:space="preserve">  Stressed Area =</t>
  </si>
  <si>
    <t xml:space="preserve">  mm^2</t>
  </si>
  <si>
    <t xml:space="preserve">  Failure Probability=</t>
  </si>
  <si>
    <t xml:space="preserve">  Fa =</t>
  </si>
  <si>
    <t xml:space="preserve">  Fp =</t>
  </si>
  <si>
    <t xml:space="preserve">  Ff  =</t>
  </si>
  <si>
    <t xml:space="preserve">  Time at stress =</t>
  </si>
  <si>
    <t xml:space="preserve">  sec</t>
  </si>
  <si>
    <t xml:space="preserve">       Test time =</t>
  </si>
  <si>
    <t xml:space="preserve">   sec</t>
  </si>
  <si>
    <t>Allowable Stress =</t>
  </si>
  <si>
    <t xml:space="preserve">  Mpa</t>
  </si>
  <si>
    <t xml:space="preserve">        =</t>
  </si>
  <si>
    <t xml:space="preserve">  psi</t>
  </si>
  <si>
    <t>CTE =</t>
  </si>
  <si>
    <t xml:space="preserve"> x10-6/K</t>
  </si>
  <si>
    <t xml:space="preserve">    n =</t>
  </si>
  <si>
    <t>FK 52</t>
  </si>
  <si>
    <t>PSK 53 A</t>
  </si>
  <si>
    <t>BK 7</t>
  </si>
  <si>
    <t>ZKN 7</t>
  </si>
  <si>
    <t>BAK 1</t>
  </si>
  <si>
    <t>SK 16</t>
  </si>
  <si>
    <t>LaK 8</t>
  </si>
  <si>
    <t>LaK N9</t>
  </si>
  <si>
    <t>LaK 10</t>
  </si>
  <si>
    <t>LLF 2</t>
  </si>
  <si>
    <t>BaSF 64</t>
  </si>
  <si>
    <t>LaF 2</t>
  </si>
  <si>
    <t>LaF N 21</t>
  </si>
  <si>
    <t>LaSF 8</t>
  </si>
  <si>
    <t>LaSF N 30</t>
  </si>
  <si>
    <t>F 2</t>
  </si>
  <si>
    <t xml:space="preserve"> n Estimated</t>
  </si>
  <si>
    <t>SF 5</t>
  </si>
  <si>
    <t>SF 6</t>
  </si>
  <si>
    <t>SF L 6</t>
  </si>
  <si>
    <t>SF 57</t>
  </si>
  <si>
    <t>SF 58</t>
  </si>
  <si>
    <t>KzFS N 4</t>
  </si>
  <si>
    <t>UG 11</t>
  </si>
  <si>
    <t>KG 3</t>
  </si>
  <si>
    <t>IRG 100</t>
  </si>
  <si>
    <t>Floatglass</t>
  </si>
  <si>
    <t>Duran</t>
  </si>
  <si>
    <t>Fa</t>
  </si>
  <si>
    <t>Fp</t>
  </si>
  <si>
    <t>Ff</t>
  </si>
  <si>
    <t>psi</t>
  </si>
  <si>
    <t>Fracture Mechanics Data</t>
  </si>
  <si>
    <t>Ki = psi-Sqrt(inches)</t>
  </si>
  <si>
    <t>V  = in/sec</t>
  </si>
  <si>
    <t>Surface Crack in a simi-infinite solid:</t>
  </si>
  <si>
    <t>Ki=1.12*stress*(pi*a)^0.5</t>
  </si>
  <si>
    <t>Surface flaw crack propagation:</t>
  </si>
  <si>
    <t>initial a</t>
  </si>
  <si>
    <t>Ki</t>
  </si>
  <si>
    <t>stress</t>
  </si>
  <si>
    <t>pi =</t>
  </si>
  <si>
    <t>An approximate crack growth law in Zerodur is Ki=254+6*ln(V)</t>
  </si>
  <si>
    <t>V</t>
  </si>
  <si>
    <t>a</t>
  </si>
  <si>
    <t>time</t>
  </si>
  <si>
    <t>sec</t>
  </si>
  <si>
    <t>in/sec</t>
  </si>
  <si>
    <t>del t</t>
  </si>
  <si>
    <t>Estimated</t>
  </si>
  <si>
    <t>Flaw depth</t>
  </si>
  <si>
    <t>inches</t>
  </si>
  <si>
    <t>Kic =</t>
  </si>
  <si>
    <t>Maximum</t>
  </si>
  <si>
    <t>microns</t>
  </si>
  <si>
    <t>Particle</t>
  </si>
  <si>
    <t>size</t>
  </si>
  <si>
    <t>Loose/</t>
  </si>
  <si>
    <t>Fixed</t>
  </si>
  <si>
    <t>Mean</t>
  </si>
  <si>
    <t>Abrasive particle, microns</t>
  </si>
  <si>
    <t>Loose</t>
  </si>
  <si>
    <t>etched</t>
  </si>
  <si>
    <t>polished</t>
  </si>
  <si>
    <t>Flaw depth/particle Size</t>
  </si>
  <si>
    <t>particle</t>
  </si>
  <si>
    <t>Statistics (excluding green cells)</t>
  </si>
  <si>
    <t>SD</t>
  </si>
  <si>
    <t>Mean+3sigma</t>
  </si>
  <si>
    <t>Loose Abrasive</t>
  </si>
  <si>
    <t>Fixed Abrasive</t>
  </si>
  <si>
    <t>plot data</t>
  </si>
  <si>
    <t>flaw/grit</t>
  </si>
  <si>
    <t>Surface Damage</t>
  </si>
  <si>
    <t>Note: flaw depth estimate is based on</t>
  </si>
  <si>
    <t>short term strength (no vrack growth</t>
  </si>
  <si>
    <t>over time).</t>
  </si>
  <si>
    <t>= estimated from CTE</t>
  </si>
  <si>
    <t>Ki =</t>
  </si>
  <si>
    <t>+</t>
  </si>
  <si>
    <t>*ln(V)</t>
  </si>
  <si>
    <t>No Zerodur data available. Typical values for glass are 436 to 816 psi-sqrt(inches), assume Kic=400 to 800 psi-sqrt(in)</t>
  </si>
  <si>
    <t xml:space="preserve"> psi-sqrt(in) </t>
  </si>
  <si>
    <t>"CNTRLa" to update flaw depth estimates</t>
  </si>
  <si>
    <t>Surface Damage, BK7 (Actual fracture data used)</t>
  </si>
  <si>
    <t>loose</t>
  </si>
  <si>
    <t>fixed</t>
  </si>
  <si>
    <t>BK7 in air at 100% RH</t>
  </si>
  <si>
    <t>Fracture data is based on BK7 results and is scaled from earlier estimates that were conservative when applied to</t>
  </si>
  <si>
    <t>,easured flaw depth.</t>
  </si>
  <si>
    <t>Copy the Sigma, Lambda, n values for the material and treatment desired into these cells. Note the approximation for n.</t>
  </si>
  <si>
    <t>Coversion</t>
  </si>
  <si>
    <t>N/m^(3/2) to psiSqrt(in) is me =</t>
  </si>
  <si>
    <t>Crack Growth Law:</t>
  </si>
  <si>
    <t>K=</t>
  </si>
  <si>
    <t>*ln(v)</t>
  </si>
  <si>
    <t xml:space="preserve">   Units are N/m^(3/2)</t>
  </si>
  <si>
    <t xml:space="preserve">   Units are psi-sqrt(in)</t>
  </si>
  <si>
    <t>v is m/sec</t>
  </si>
  <si>
    <t>v is in/sec</t>
  </si>
  <si>
    <t>*ln(v/39.37)</t>
  </si>
  <si>
    <t xml:space="preserve"> N/m^(3/2)    = </t>
  </si>
  <si>
    <t xml:space="preserve"> psi-sqrt(in)</t>
  </si>
  <si>
    <t>Crack in a .25" plate</t>
  </si>
  <si>
    <t>Crack depth</t>
  </si>
  <si>
    <t>a/t</t>
  </si>
  <si>
    <t>Y</t>
  </si>
  <si>
    <t>Ki = Y*stress*sqrt(a)</t>
  </si>
  <si>
    <t>(t=0.25)</t>
  </si>
  <si>
    <t>Nom stress =</t>
  </si>
  <si>
    <t>Crack Growth</t>
  </si>
  <si>
    <t>v</t>
  </si>
  <si>
    <t>dt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</si>
</sst>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E+00"/>
    <numFmt numFmtId="167" formatCode="0.000E+00"/>
    <numFmt numFmtId="168" formatCode="0.00000"/>
    <numFmt numFmtId="169" formatCode="0.0000"/>
    <numFmt numFmtId="170" formatCode="0.0000000"/>
    <numFmt numFmtId="171" formatCode="0.000000"/>
    <numFmt numFmtId="172" formatCode="&quot;$&quot;#,##0.0"/>
    <numFmt numFmtId="173" formatCode="#,##0.0"/>
    <numFmt numFmtId="174" formatCode="#,##0.000"/>
  </numFmts>
  <fonts count="17">
    <font>
      <sz val="10"/>
      <name val="Arial"/>
      <family val="0"/>
    </font>
    <font>
      <sz val="16"/>
      <name val="Arial"/>
      <family val="2"/>
    </font>
    <font>
      <sz val="12"/>
      <name val="Arial"/>
      <family val="2"/>
    </font>
    <font>
      <sz val="10"/>
      <color indexed="53"/>
      <name val="Arial"/>
      <family val="2"/>
    </font>
    <font>
      <vertAlign val="superscript"/>
      <sz val="10"/>
      <name val="Arial"/>
      <family val="0"/>
    </font>
    <font>
      <b/>
      <sz val="12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b/>
      <sz val="10"/>
      <name val="Arial"/>
      <family val="0"/>
    </font>
    <font>
      <sz val="9.75"/>
      <name val="Arial"/>
      <family val="0"/>
    </font>
    <font>
      <vertAlign val="superscript"/>
      <sz val="10"/>
      <color indexed="5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vertAlign val="superscript"/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3" borderId="1" xfId="0" applyFill="1" applyBorder="1" applyAlignment="1">
      <alignment/>
    </xf>
    <xf numFmtId="164" fontId="2" fillId="3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 horizontal="center"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 horizontal="center"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 horizontal="center"/>
    </xf>
    <xf numFmtId="173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11" fontId="0" fillId="2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  <xf numFmtId="0" fontId="0" fillId="0" borderId="0" xfId="0" applyFill="1" applyBorder="1" applyAlignment="1">
      <alignment/>
    </xf>
    <xf numFmtId="2" fontId="0" fillId="6" borderId="1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1" xfId="0" applyFill="1" applyBorder="1" applyAlignment="1">
      <alignment/>
    </xf>
    <xf numFmtId="0" fontId="0" fillId="0" borderId="0" xfId="0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Crack Growth vs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09525"/>
          <c:w val="0.86175"/>
          <c:h val="0.81975"/>
        </c:manualLayout>
      </c:layout>
      <c:scatterChart>
        <c:scatterStyle val="smoothMarker"/>
        <c:varyColors val="0"/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'Surface damage BK7'!$I$63:$I$89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'Surface damage BK7'!$K$63:$K$89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1"/>
        </c:ser>
        <c:axId val="50410788"/>
        <c:axId val="51043909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'Surface damage BK7'!$I$63:$I$89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'Surface damage BK7'!$J$63:$J$89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1"/>
        </c:ser>
        <c:axId val="56741998"/>
        <c:axId val="40915935"/>
      </c:scatterChart>
      <c:valAx>
        <c:axId val="50410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time, 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43909"/>
        <c:crosses val="autoZero"/>
        <c:crossBetween val="midCat"/>
        <c:dispUnits/>
      </c:valAx>
      <c:valAx>
        <c:axId val="51043909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Ki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50410788"/>
        <c:crosses val="autoZero"/>
        <c:crossBetween val="midCat"/>
        <c:dispUnits/>
      </c:valAx>
      <c:valAx>
        <c:axId val="56741998"/>
        <c:scaling>
          <c:orientation val="minMax"/>
        </c:scaling>
        <c:axPos val="b"/>
        <c:delete val="1"/>
        <c:majorTickMark val="in"/>
        <c:minorTickMark val="none"/>
        <c:tickLblPos val="nextTo"/>
        <c:crossAx val="40915935"/>
        <c:crosses val="max"/>
        <c:crossBetween val="midCat"/>
        <c:dispUnits/>
      </c:valAx>
      <c:valAx>
        <c:axId val="40915935"/>
        <c:scaling>
          <c:logBase val="10"/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74199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125"/>
          <c:y val="0.44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Y(a/t)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"/>
          <c:w val="0.89625"/>
          <c:h val="0.8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'[1]Sheet1'!$M$6:$M$10</c:f>
              <c:numCache>
                <c:ptCount val="5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</c:numCache>
            </c:numRef>
          </c:xVal>
          <c:yVal>
            <c:numRef>
              <c:f>'[1]Sheet1'!$N$6:$N$10</c:f>
              <c:numCache>
                <c:ptCount val="5"/>
                <c:pt idx="0">
                  <c:v>1.99</c:v>
                </c:pt>
                <c:pt idx="1">
                  <c:v>2.434</c:v>
                </c:pt>
                <c:pt idx="2">
                  <c:v>3.734</c:v>
                </c:pt>
                <c:pt idx="3">
                  <c:v>7.143</c:v>
                </c:pt>
                <c:pt idx="4">
                  <c:v>15.985</c:v>
                </c:pt>
              </c:numCache>
            </c:numRef>
          </c:yVal>
          <c:smooth val="1"/>
        </c:ser>
        <c:axId val="32699096"/>
        <c:axId val="25856409"/>
      </c:scatterChart>
      <c:valAx>
        <c:axId val="32699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856409"/>
        <c:crosses val="autoZero"/>
        <c:crossBetween val="midCat"/>
        <c:dispUnits/>
      </c:valAx>
      <c:valAx>
        <c:axId val="25856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69909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Flaw Depth vs time to failure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09825"/>
          <c:w val="0.91175"/>
          <c:h val="0.83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'[1]Sheet1'!$A$28:$A$174</c:f>
              <c:numCache>
                <c:ptCount val="147"/>
                <c:pt idx="0">
                  <c:v>0</c:v>
                </c:pt>
                <c:pt idx="1">
                  <c:v>7.357204982895771E-05</c:v>
                </c:pt>
                <c:pt idx="2">
                  <c:v>0.00016290185939594993</c:v>
                </c:pt>
                <c:pt idx="3">
                  <c:v>0.000271206645974622</c:v>
                </c:pt>
                <c:pt idx="4">
                  <c:v>0.0004023278776044335</c:v>
                </c:pt>
                <c:pt idx="5">
                  <c:v>0.000560845981296631</c:v>
                </c:pt>
                <c:pt idx="6">
                  <c:v>0.0007522149286586751</c:v>
                </c:pt>
                <c:pt idx="7">
                  <c:v>0.0009829199307253885</c:v>
                </c:pt>
                <c:pt idx="8">
                  <c:v>0.0012606619636776686</c:v>
                </c:pt>
                <c:pt idx="9">
                  <c:v>0.0015945734057030152</c:v>
                </c:pt>
                <c:pt idx="10">
                  <c:v>0.0019954697013167934</c:v>
                </c:pt>
                <c:pt idx="11">
                  <c:v>0.002476142692848904</c:v>
                </c:pt>
                <c:pt idx="12">
                  <c:v>0.0030517020804597785</c:v>
                </c:pt>
                <c:pt idx="13">
                  <c:v>0.0037399724041701967</c:v>
                </c:pt>
                <c:pt idx="14">
                  <c:v>0.004561953997518293</c:v>
                </c:pt>
                <c:pt idx="15">
                  <c:v>0.005542357557630906</c:v>
                </c:pt>
                <c:pt idx="16">
                  <c:v>0.006710223327387355</c:v>
                </c:pt>
                <c:pt idx="17">
                  <c:v>0.008099637410423516</c:v>
                </c:pt>
                <c:pt idx="18">
                  <c:v>0.009750559459391413</c:v>
                </c:pt>
                <c:pt idx="19">
                  <c:v>0.011709777914711627</c:v>
                </c:pt>
                <c:pt idx="20">
                  <c:v>0.014032011149922398</c:v>
                </c:pt>
                <c:pt idx="21">
                  <c:v>0.01678117532807044</c:v>
                </c:pt>
                <c:pt idx="22">
                  <c:v>0.020031842521601353</c:v>
                </c:pt>
                <c:pt idx="23">
                  <c:v>0.023870915729095655</c:v>
                </c:pt>
                <c:pt idx="24">
                  <c:v>0.028399550872426474</c:v>
                </c:pt>
                <c:pt idx="25">
                  <c:v>0.03373535971749467</c:v>
                </c:pt>
                <c:pt idx="26">
                  <c:v>0.040014931974468745</c:v>
                </c:pt>
                <c:pt idx="27">
                  <c:v>0.04739671964740913</c:v>
                </c:pt>
                <c:pt idx="28">
                  <c:v>0.05606433207076458</c:v>
                </c:pt>
                <c:pt idx="29">
                  <c:v>0.06623029604880357</c:v>
                </c:pt>
                <c:pt idx="30">
                  <c:v>0.07814034216611696</c:v>
                </c:pt>
                <c:pt idx="31">
                  <c:v>0.09207828573105002</c:v>
                </c:pt>
                <c:pt idx="32">
                  <c:v>0.10837157902348796</c:v>
                </c:pt>
                <c:pt idx="33">
                  <c:v>0.12739762062452065</c:v>
                </c:pt>
                <c:pt idx="34">
                  <c:v>0.1495909176958128</c:v>
                </c:pt>
                <c:pt idx="35">
                  <c:v>0.17545120824615867</c:v>
                </c:pt>
                <c:pt idx="36">
                  <c:v>0.2055526627748287</c:v>
                </c:pt>
                <c:pt idx="37">
                  <c:v>0.240554298327674</c:v>
                </c:pt>
                <c:pt idx="38">
                  <c:v>0.28121175306337903</c:v>
                </c:pt>
                <c:pt idx="39">
                  <c:v>0.3283905860344155</c:v>
                </c:pt>
                <c:pt idx="40">
                  <c:v>0.38308128518120643</c:v>
                </c:pt>
                <c:pt idx="41">
                  <c:v>0.44641618667094096</c:v>
                </c:pt>
                <c:pt idx="42">
                  <c:v>0.5196885308483719</c:v>
                </c:pt>
                <c:pt idx="43">
                  <c:v>0.6043739043813142</c:v>
                </c:pt>
                <c:pt idx="44">
                  <c:v>0.7021543448683428</c:v>
                </c:pt>
                <c:pt idx="45">
                  <c:v>0.8149454134343947</c:v>
                </c:pt>
                <c:pt idx="46">
                  <c:v>0.9449265728905881</c:v>
                </c:pt>
                <c:pt idx="47">
                  <c:v>1.0945752441124985</c:v>
                </c:pt>
                <c:pt idx="48">
                  <c:v>1.2667049516480469</c:v>
                </c:pt>
                <c:pt idx="49">
                  <c:v>1.4645080114713651</c:v>
                </c:pt>
                <c:pt idx="50">
                  <c:v>1.6916032595406425</c:v>
                </c:pt>
                <c:pt idx="51">
                  <c:v>1.9520893697038024</c:v>
                </c:pt>
                <c:pt idx="52">
                  <c:v>2.2506043638543565</c:v>
                </c:pt>
                <c:pt idx="53">
                  <c:v>2.5923919764214416</c:v>
                </c:pt>
                <c:pt idx="54">
                  <c:v>2.9833755996559286</c:v>
                </c:pt>
                <c:pt idx="55">
                  <c:v>3.43024060614626</c:v>
                </c:pt>
                <c:pt idx="56">
                  <c:v>3.940525920985602</c:v>
                </c:pt>
                <c:pt idx="57">
                  <c:v>4.522725798465326</c:v>
                </c:pt>
                <c:pt idx="58">
                  <c:v>5.18640284756528</c:v>
                </c:pt>
                <c:pt idx="59">
                  <c:v>5.942313447354531</c:v>
                </c:pt>
                <c:pt idx="60">
                  <c:v>6.802546798242949</c:v>
                </c:pt>
                <c:pt idx="61">
                  <c:v>7.78067896840175</c:v>
                </c:pt>
                <c:pt idx="62">
                  <c:v>8.891943417199668</c:v>
                </c:pt>
                <c:pt idx="63">
                  <c:v>10.15341960981559</c:v>
                </c:pt>
                <c:pt idx="64">
                  <c:v>11.584241479957562</c:v>
                </c:pt>
                <c:pt idx="65">
                  <c:v>13.205827651549466</c:v>
                </c:pt>
                <c:pt idx="66">
                  <c:v>15.04213549608437</c:v>
                </c:pt>
                <c:pt idx="67">
                  <c:v>17.119941280873526</c:v>
                </c:pt>
                <c:pt idx="68">
                  <c:v>19.469148855466692</c:v>
                </c:pt>
                <c:pt idx="69">
                  <c:v>22.123129529952024</c:v>
                </c:pt>
                <c:pt idx="70">
                  <c:v>25.119096020573696</c:v>
                </c:pt>
                <c:pt idx="71">
                  <c:v>28.498513576090513</c:v>
                </c:pt>
                <c:pt idx="72">
                  <c:v>32.30755165354213</c:v>
                </c:pt>
                <c:pt idx="73">
                  <c:v>36.59757978564443</c:v>
                </c:pt>
                <c:pt idx="74">
                  <c:v>41.42571157500191</c:v>
                </c:pt>
                <c:pt idx="75">
                  <c:v>46.85540106385595</c:v>
                </c:pt>
                <c:pt idx="76">
                  <c:v>52.95709606338687</c:v>
                </c:pt>
                <c:pt idx="77">
                  <c:v>59.808953384911774</c:v>
                </c:pt>
                <c:pt idx="78">
                  <c:v>67.49762129798249</c:v>
                </c:pt>
                <c:pt idx="79">
                  <c:v>76.11909494875427</c:v>
                </c:pt>
                <c:pt idx="80">
                  <c:v>85.77965090749106</c:v>
                </c:pt>
                <c:pt idx="81">
                  <c:v>96.59686747818148</c:v>
                </c:pt>
                <c:pt idx="82">
                  <c:v>108.70073789749836</c:v>
                </c:pt>
                <c:pt idx="83">
                  <c:v>122.23488407634906</c:v>
                </c:pt>
                <c:pt idx="84">
                  <c:v>137.35787909669375</c:v>
                </c:pt>
                <c:pt idx="85">
                  <c:v>154.24468727087725</c:v>
                </c:pt>
                <c:pt idx="86">
                  <c:v>173.0882312022161</c:v>
                </c:pt>
                <c:pt idx="87">
                  <c:v>194.10109595585203</c:v>
                </c:pt>
                <c:pt idx="88">
                  <c:v>217.51738115984026</c:v>
                </c:pt>
                <c:pt idx="89">
                  <c:v>243.5947126100633</c:v>
                </c:pt>
                <c:pt idx="90">
                  <c:v>272.6164257508868</c:v>
                </c:pt>
                <c:pt idx="91">
                  <c:v>304.8939342486131</c:v>
                </c:pt>
                <c:pt idx="92">
                  <c:v>340.7692977689064</c:v>
                </c:pt>
                <c:pt idx="93">
                  <c:v>380.6180040146995</c:v>
                </c:pt>
                <c:pt idx="94">
                  <c:v>424.85198107994324</c:v>
                </c:pt>
                <c:pt idx="95">
                  <c:v>473.9228572292868</c:v>
                </c:pt>
                <c:pt idx="96">
                  <c:v>528.3254863268198</c:v>
                </c:pt>
                <c:pt idx="97">
                  <c:v>588.6017583108362</c:v>
                </c:pt>
                <c:pt idx="98">
                  <c:v>655.344715348758</c:v>
                </c:pt>
                <c:pt idx="99">
                  <c:v>729.2029956095125</c:v>
                </c:pt>
                <c:pt idx="100">
                  <c:v>810.8856279624335</c:v>
                </c:pt>
                <c:pt idx="101">
                  <c:v>901.1672023549038</c:v>
                </c:pt>
                <c:pt idx="102">
                  <c:v>1000.8934421382799</c:v>
                </c:pt>
                <c:pt idx="103">
                  <c:v>1110.9872062059492</c:v>
                </c:pt>
                <c:pt idx="104">
                  <c:v>1232.4549504815973</c:v>
                </c:pt>
                <c:pt idx="105">
                  <c:v>1366.3936800528427</c:v>
                </c:pt>
                <c:pt idx="106">
                  <c:v>1513.9984250883326</c:v>
                </c:pt>
                <c:pt idx="107">
                  <c:v>1676.5702756082428</c:v>
                </c:pt>
                <c:pt idx="108">
                  <c:v>1855.5250122019474</c:v>
                </c:pt>
                <c:pt idx="109">
                  <c:v>2052.4023719056217</c:v>
                </c:pt>
                <c:pt idx="110">
                  <c:v>2268.875990669758</c:v>
                </c:pt>
                <c:pt idx="111">
                  <c:v>2506.7640661654223</c:v>
                </c:pt>
                <c:pt idx="112">
                  <c:v>2768.0407871014945</c:v>
                </c:pt>
                <c:pt idx="113">
                  <c:v>3054.8485777567457</c:v>
                </c:pt>
                <c:pt idx="114">
                  <c:v>3369.5112090733282</c:v>
                </c:pt>
                <c:pt idx="115">
                  <c:v>3714.5478304157105</c:v>
                </c:pt>
                <c:pt idx="116">
                  <c:v>4092.6879789743507</c:v>
                </c:pt>
                <c:pt idx="117">
                  <c:v>4506.887626789976</c:v>
                </c:pt>
                <c:pt idx="118">
                  <c:v>4960.346328495417</c:v>
                </c:pt>
                <c:pt idx="119">
                  <c:v>5456.525536120986</c:v>
                </c:pt>
                <c:pt idx="120">
                  <c:v>5999.168150689572</c:v>
                </c:pt>
                <c:pt idx="121">
                  <c:v>6592.3193838424395</c:v>
                </c:pt>
                <c:pt idx="122">
                  <c:v>7240.3490063892195</c:v>
                </c:pt>
                <c:pt idx="123">
                  <c:v>7947.975064469324</c:v>
                </c:pt>
                <c:pt idx="124">
                  <c:v>8720.28914794989</c:v>
                </c:pt>
                <c:pt idx="125">
                  <c:v>9562.783299771001</c:v>
                </c:pt>
                <c:pt idx="126">
                  <c:v>10481.378659184904</c:v>
                </c:pt>
                <c:pt idx="127">
                  <c:v>11482.455936226012</c:v>
                </c:pt>
                <c:pt idx="128">
                  <c:v>12572.887819295152</c:v>
                </c:pt>
                <c:pt idx="129">
                  <c:v>13760.07342244796</c:v>
                </c:pt>
                <c:pt idx="130">
                  <c:v>15051.974883846571</c:v>
                </c:pt>
                <c:pt idx="131">
                  <c:v>16457.15623186828</c:v>
                </c:pt>
                <c:pt idx="132">
                  <c:v>17984.824640567782</c:v>
                </c:pt>
                <c:pt idx="133">
                  <c:v>19644.874201563158</c:v>
                </c:pt>
                <c:pt idx="134">
                  <c:v>21447.93234496278</c:v>
                </c:pt>
                <c:pt idx="135">
                  <c:v>23405.4090476731</c:v>
                </c:pt>
                <c:pt idx="136">
                  <c:v>25529.548973327797</c:v>
                </c:pt>
                <c:pt idx="137">
                  <c:v>27833.48669415981</c:v>
                </c:pt>
                <c:pt idx="138">
                  <c:v>30331.305151400527</c:v>
                </c:pt>
                <c:pt idx="139">
                  <c:v>33038.097517237606</c:v>
                </c:pt>
                <c:pt idx="140">
                  <c:v>35970.0326279951</c:v>
                </c:pt>
                <c:pt idx="141">
                  <c:v>39144.424165019576</c:v>
                </c:pt>
                <c:pt idx="142">
                  <c:v>42579.80376676403</c:v>
                </c:pt>
                <c:pt idx="143">
                  <c:v>46295.998262758985</c:v>
                </c:pt>
                <c:pt idx="144">
                  <c:v>50314.21122754895</c:v>
                </c:pt>
                <c:pt idx="145">
                  <c:v>54657.10906025153</c:v>
                </c:pt>
                <c:pt idx="146">
                  <c:v>59348.91180316809</c:v>
                </c:pt>
              </c:numCache>
            </c:numRef>
          </c:xVal>
          <c:yVal>
            <c:numRef>
              <c:f>'[1]Sheet1'!$B$28:$B$174</c:f>
              <c:numCache>
                <c:ptCount val="147"/>
                <c:pt idx="0">
                  <c:v>0.021560559392210955</c:v>
                </c:pt>
                <c:pt idx="1">
                  <c:v>0.021409635476465478</c:v>
                </c:pt>
                <c:pt idx="2">
                  <c:v>0.02125976802813022</c:v>
                </c:pt>
                <c:pt idx="3">
                  <c:v>0.021110949651933306</c:v>
                </c:pt>
                <c:pt idx="4">
                  <c:v>0.020963173004369774</c:v>
                </c:pt>
                <c:pt idx="5">
                  <c:v>0.020816430793339186</c:v>
                </c:pt>
                <c:pt idx="6">
                  <c:v>0.02067071577778581</c:v>
                </c:pt>
                <c:pt idx="7">
                  <c:v>0.02052602076734131</c:v>
                </c:pt>
                <c:pt idx="8">
                  <c:v>0.020382338621969923</c:v>
                </c:pt>
                <c:pt idx="9">
                  <c:v>0.020239662251616133</c:v>
                </c:pt>
                <c:pt idx="10">
                  <c:v>0.02009798461585482</c:v>
                </c:pt>
                <c:pt idx="11">
                  <c:v>0.019957298723543838</c:v>
                </c:pt>
                <c:pt idx="12">
                  <c:v>0.01981759763247903</c:v>
                </c:pt>
                <c:pt idx="13">
                  <c:v>0.019678874449051677</c:v>
                </c:pt>
                <c:pt idx="14">
                  <c:v>0.019541122327908316</c:v>
                </c:pt>
                <c:pt idx="15">
                  <c:v>0.01940433447161296</c:v>
                </c:pt>
                <c:pt idx="16">
                  <c:v>0.01926850413031167</c:v>
                </c:pt>
                <c:pt idx="17">
                  <c:v>0.019133624601399488</c:v>
                </c:pt>
                <c:pt idx="18">
                  <c:v>0.01899968922918969</c:v>
                </c:pt>
                <c:pt idx="19">
                  <c:v>0.018866691404585363</c:v>
                </c:pt>
                <c:pt idx="20">
                  <c:v>0.018734624564753267</c:v>
                </c:pt>
                <c:pt idx="21">
                  <c:v>0.018603482192799992</c:v>
                </c:pt>
                <c:pt idx="22">
                  <c:v>0.018473257817450392</c:v>
                </c:pt>
                <c:pt idx="23">
                  <c:v>0.01834394501272824</c:v>
                </c:pt>
                <c:pt idx="24">
                  <c:v>0.01821553739763914</c:v>
                </c:pt>
                <c:pt idx="25">
                  <c:v>0.018088028635855666</c:v>
                </c:pt>
                <c:pt idx="26">
                  <c:v>0.017961412435404677</c:v>
                </c:pt>
                <c:pt idx="27">
                  <c:v>0.017835682548356845</c:v>
                </c:pt>
                <c:pt idx="28">
                  <c:v>0.017710832770518346</c:v>
                </c:pt>
                <c:pt idx="29">
                  <c:v>0.017586856941124718</c:v>
                </c:pt>
                <c:pt idx="30">
                  <c:v>0.017463748942536845</c:v>
                </c:pt>
                <c:pt idx="31">
                  <c:v>0.017341502699939088</c:v>
                </c:pt>
                <c:pt idx="32">
                  <c:v>0.017220112181039512</c:v>
                </c:pt>
                <c:pt idx="33">
                  <c:v>0.017099571395772235</c:v>
                </c:pt>
                <c:pt idx="34">
                  <c:v>0.01697987439600183</c:v>
                </c:pt>
                <c:pt idx="35">
                  <c:v>0.016861015275229818</c:v>
                </c:pt>
                <c:pt idx="36">
                  <c:v>0.01674298816830321</c:v>
                </c:pt>
                <c:pt idx="37">
                  <c:v>0.016625787251125086</c:v>
                </c:pt>
                <c:pt idx="38">
                  <c:v>0.01650940674036721</c:v>
                </c:pt>
                <c:pt idx="39">
                  <c:v>0.016393840893184637</c:v>
                </c:pt>
                <c:pt idx="40">
                  <c:v>0.016279084006932346</c:v>
                </c:pt>
                <c:pt idx="41">
                  <c:v>0.01616513041888382</c:v>
                </c:pt>
                <c:pt idx="42">
                  <c:v>0.01605197450595163</c:v>
                </c:pt>
                <c:pt idx="43">
                  <c:v>0.01593961068440997</c:v>
                </c:pt>
                <c:pt idx="44">
                  <c:v>0.0158280334096191</c:v>
                </c:pt>
                <c:pt idx="45">
                  <c:v>0.015717237175751766</c:v>
                </c:pt>
                <c:pt idx="46">
                  <c:v>0.015607216515521504</c:v>
                </c:pt>
                <c:pt idx="47">
                  <c:v>0.015497965999912853</c:v>
                </c:pt>
                <c:pt idx="48">
                  <c:v>0.015389480237913464</c:v>
                </c:pt>
                <c:pt idx="49">
                  <c:v>0.01528175387624807</c:v>
                </c:pt>
                <c:pt idx="50">
                  <c:v>0.015174781599114333</c:v>
                </c:pt>
                <c:pt idx="51">
                  <c:v>0.015068558127920533</c:v>
                </c:pt>
                <c:pt idx="52">
                  <c:v>0.014963078221025088</c:v>
                </c:pt>
                <c:pt idx="53">
                  <c:v>0.014858336673477912</c:v>
                </c:pt>
                <c:pt idx="54">
                  <c:v>0.014754328316763567</c:v>
                </c:pt>
                <c:pt idx="55">
                  <c:v>0.014651048018546222</c:v>
                </c:pt>
                <c:pt idx="56">
                  <c:v>0.014548490682416398</c:v>
                </c:pt>
                <c:pt idx="57">
                  <c:v>0.014446651247639483</c:v>
                </c:pt>
                <c:pt idx="58">
                  <c:v>0.014345524688906007</c:v>
                </c:pt>
                <c:pt idx="59">
                  <c:v>0.014245106016083664</c:v>
                </c:pt>
                <c:pt idx="60">
                  <c:v>0.01414539027397108</c:v>
                </c:pt>
                <c:pt idx="61">
                  <c:v>0.014046372542053282</c:v>
                </c:pt>
                <c:pt idx="62">
                  <c:v>0.01394804793425891</c:v>
                </c:pt>
                <c:pt idx="63">
                  <c:v>0.013850411598719097</c:v>
                </c:pt>
                <c:pt idx="64">
                  <c:v>0.013753458717528063</c:v>
                </c:pt>
                <c:pt idx="65">
                  <c:v>0.013657184506505366</c:v>
                </c:pt>
                <c:pt idx="66">
                  <c:v>0.01356158421495983</c:v>
                </c:pt>
                <c:pt idx="67">
                  <c:v>0.01346665312545511</c:v>
                </c:pt>
                <c:pt idx="68">
                  <c:v>0.013372386553576924</c:v>
                </c:pt>
                <c:pt idx="69">
                  <c:v>0.013278779847701885</c:v>
                </c:pt>
                <c:pt idx="70">
                  <c:v>0.013185828388767973</c:v>
                </c:pt>
                <c:pt idx="71">
                  <c:v>0.013093527590046597</c:v>
                </c:pt>
                <c:pt idx="72">
                  <c:v>0.013001872896916272</c:v>
                </c:pt>
                <c:pt idx="73">
                  <c:v>0.012910859786637858</c:v>
                </c:pt>
                <c:pt idx="74">
                  <c:v>0.012820483768131392</c:v>
                </c:pt>
                <c:pt idx="75">
                  <c:v>0.012730740381754473</c:v>
                </c:pt>
                <c:pt idx="76">
                  <c:v>0.012641625199082192</c:v>
                </c:pt>
                <c:pt idx="77">
                  <c:v>0.012553133822688616</c:v>
                </c:pt>
                <c:pt idx="78">
                  <c:v>0.012465261885929797</c:v>
                </c:pt>
                <c:pt idx="79">
                  <c:v>0.012378005052728288</c:v>
                </c:pt>
                <c:pt idx="80">
                  <c:v>0.01229135901735919</c:v>
                </c:pt>
                <c:pt idx="81">
                  <c:v>0.012205319504237677</c:v>
                </c:pt>
                <c:pt idx="82">
                  <c:v>0.012119882267708014</c:v>
                </c:pt>
                <c:pt idx="83">
                  <c:v>0.012035043091834058</c:v>
                </c:pt>
                <c:pt idx="84">
                  <c:v>0.01195079779019122</c:v>
                </c:pt>
                <c:pt idx="85">
                  <c:v>0.011867142205659882</c:v>
                </c:pt>
                <c:pt idx="86">
                  <c:v>0.011784072210220263</c:v>
                </c:pt>
                <c:pt idx="87">
                  <c:v>0.011701583704748721</c:v>
                </c:pt>
                <c:pt idx="88">
                  <c:v>0.011619672618815479</c:v>
                </c:pt>
                <c:pt idx="89">
                  <c:v>0.01153833491048377</c:v>
                </c:pt>
                <c:pt idx="90">
                  <c:v>0.011457566566110385</c:v>
                </c:pt>
                <c:pt idx="91">
                  <c:v>0.011377363600147612</c:v>
                </c:pt>
                <c:pt idx="92">
                  <c:v>0.011297722054946578</c:v>
                </c:pt>
                <c:pt idx="93">
                  <c:v>0.011218638000561953</c:v>
                </c:pt>
                <c:pt idx="94">
                  <c:v>0.01114010753455802</c:v>
                </c:pt>
                <c:pt idx="95">
                  <c:v>0.011062126781816114</c:v>
                </c:pt>
                <c:pt idx="96">
                  <c:v>0.010984691894343401</c:v>
                </c:pt>
                <c:pt idx="97">
                  <c:v>0.010907799051082996</c:v>
                </c:pt>
                <c:pt idx="98">
                  <c:v>0.010831444457725416</c:v>
                </c:pt>
                <c:pt idx="99">
                  <c:v>0.010755624346521338</c:v>
                </c:pt>
                <c:pt idx="100">
                  <c:v>0.010680334976095688</c:v>
                </c:pt>
                <c:pt idx="101">
                  <c:v>0.010605572631263018</c:v>
                </c:pt>
                <c:pt idx="102">
                  <c:v>0.010531333622844178</c:v>
                </c:pt>
                <c:pt idx="103">
                  <c:v>0.010457614287484268</c:v>
                </c:pt>
                <c:pt idx="104">
                  <c:v>0.010384410987471879</c:v>
                </c:pt>
                <c:pt idx="105">
                  <c:v>0.010311720110559575</c:v>
                </c:pt>
                <c:pt idx="106">
                  <c:v>0.010239538069785658</c:v>
                </c:pt>
                <c:pt idx="107">
                  <c:v>0.010167861303297158</c:v>
                </c:pt>
                <c:pt idx="108">
                  <c:v>0.010096686274174078</c:v>
                </c:pt>
                <c:pt idx="109">
                  <c:v>0.01002600947025486</c:v>
                </c:pt>
                <c:pt idx="110">
                  <c:v>0.009955827403963075</c:v>
                </c:pt>
                <c:pt idx="111">
                  <c:v>0.009886136612135334</c:v>
                </c:pt>
                <c:pt idx="112">
                  <c:v>0.009816933655850386</c:v>
                </c:pt>
                <c:pt idx="113">
                  <c:v>0.009748215120259434</c:v>
                </c:pt>
                <c:pt idx="114">
                  <c:v>0.009679977614417617</c:v>
                </c:pt>
                <c:pt idx="115">
                  <c:v>0.009612217771116694</c:v>
                </c:pt>
                <c:pt idx="116">
                  <c:v>0.009544932246718877</c:v>
                </c:pt>
                <c:pt idx="117">
                  <c:v>0.009478117720991846</c:v>
                </c:pt>
                <c:pt idx="118">
                  <c:v>0.009411770896944902</c:v>
                </c:pt>
                <c:pt idx="119">
                  <c:v>0.009345888500666288</c:v>
                </c:pt>
                <c:pt idx="120">
                  <c:v>0.009280467281161624</c:v>
                </c:pt>
                <c:pt idx="121">
                  <c:v>0.009215504010193493</c:v>
                </c:pt>
                <c:pt idx="122">
                  <c:v>0.009150995482122138</c:v>
                </c:pt>
                <c:pt idx="123">
                  <c:v>0.009086938513747284</c:v>
                </c:pt>
                <c:pt idx="124">
                  <c:v>0.009023329944151053</c:v>
                </c:pt>
                <c:pt idx="125">
                  <c:v>0.008960166634541996</c:v>
                </c:pt>
                <c:pt idx="126">
                  <c:v>0.008897445468100201</c:v>
                </c:pt>
                <c:pt idx="127">
                  <c:v>0.0088351633498235</c:v>
                </c:pt>
                <c:pt idx="128">
                  <c:v>0.008773317206374736</c:v>
                </c:pt>
                <c:pt idx="129">
                  <c:v>0.008711903985930114</c:v>
                </c:pt>
                <c:pt idx="130">
                  <c:v>0.008650920658028603</c:v>
                </c:pt>
                <c:pt idx="131">
                  <c:v>0.008590364213422403</c:v>
                </c:pt>
                <c:pt idx="132">
                  <c:v>0.008530231663928446</c:v>
                </c:pt>
                <c:pt idx="133">
                  <c:v>0.008470520042280947</c:v>
                </c:pt>
                <c:pt idx="134">
                  <c:v>0.00841122640198498</c:v>
                </c:pt>
                <c:pt idx="135">
                  <c:v>0.008352347817171086</c:v>
                </c:pt>
                <c:pt idx="136">
                  <c:v>0.008293881382450888</c:v>
                </c:pt>
                <c:pt idx="137">
                  <c:v>0.008235824212773732</c:v>
                </c:pt>
                <c:pt idx="138">
                  <c:v>0.008178173443284316</c:v>
                </c:pt>
                <c:pt idx="139">
                  <c:v>0.008120926229181325</c:v>
                </c:pt>
                <c:pt idx="140">
                  <c:v>0.008064079745577057</c:v>
                </c:pt>
                <c:pt idx="141">
                  <c:v>0.008007631187358017</c:v>
                </c:pt>
                <c:pt idx="142">
                  <c:v>0.007951577769046512</c:v>
                </c:pt>
                <c:pt idx="143">
                  <c:v>0.007895916724663186</c:v>
                </c:pt>
                <c:pt idx="144">
                  <c:v>0.007840645307590544</c:v>
                </c:pt>
                <c:pt idx="145">
                  <c:v>0.00778576079043741</c:v>
                </c:pt>
                <c:pt idx="146">
                  <c:v>0.007731260464904348</c:v>
                </c:pt>
              </c:numCache>
            </c:numRef>
          </c:yVal>
          <c:smooth val="1"/>
        </c:ser>
        <c:axId val="31381090"/>
        <c:axId val="13994355"/>
      </c:scatterChart>
      <c:valAx>
        <c:axId val="31381090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Time, 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994355"/>
        <c:crosses val="autoZero"/>
        <c:crossBetween val="midCat"/>
        <c:dispUnits/>
      </c:valAx>
      <c:valAx>
        <c:axId val="13994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Flaw depth,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381090"/>
        <c:crossesAt val="0.0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Crack Growth vs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895"/>
          <c:w val="0.86225"/>
          <c:h val="0.82725"/>
        </c:manualLayout>
      </c:layout>
      <c:scatterChart>
        <c:scatterStyle val="smoothMarker"/>
        <c:varyColors val="0"/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'Surface damage Zerodur'!$I$63:$I$89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'Surface damage Zerodur'!$K$63:$K$89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1"/>
        </c:ser>
        <c:axId val="58840332"/>
        <c:axId val="59800941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'Surface damage Zerodur'!$I$63:$I$89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'Surface damage Zerodur'!$J$63:$J$89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1"/>
        </c:ser>
        <c:axId val="1337558"/>
        <c:axId val="12038023"/>
      </c:scatterChart>
      <c:valAx>
        <c:axId val="58840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time, 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00941"/>
        <c:crosses val="autoZero"/>
        <c:crossBetween val="midCat"/>
        <c:dispUnits/>
      </c:valAx>
      <c:valAx>
        <c:axId val="59800941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Ki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58840332"/>
        <c:crosses val="autoZero"/>
        <c:crossBetween val="midCat"/>
        <c:dispUnits/>
      </c:valAx>
      <c:valAx>
        <c:axId val="1337558"/>
        <c:scaling>
          <c:orientation val="minMax"/>
        </c:scaling>
        <c:axPos val="b"/>
        <c:delete val="1"/>
        <c:majorTickMark val="in"/>
        <c:minorTickMark val="none"/>
        <c:tickLblPos val="nextTo"/>
        <c:crossAx val="12038023"/>
        <c:crosses val="max"/>
        <c:crossBetween val="midCat"/>
        <c:dispUnits/>
      </c:valAx>
      <c:valAx>
        <c:axId val="12038023"/>
        <c:scaling>
          <c:logBase val="10"/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3755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95"/>
          <c:y val="0.44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Loose Abrasive, Flaw Depth/Mean Particle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08375"/>
          <c:w val="0.91225"/>
          <c:h val="0.79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'Surface damage Zerodur'!$AG$9</c:f>
              <c:strCache>
                <c:ptCount val="1"/>
                <c:pt idx="0">
                  <c:v>particle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'Surface damage Zerodur'!$AF$10:$AF$14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'Surface damage Zerodur'!$AG$10:$AG$14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41233344"/>
        <c:axId val="35555777"/>
      </c:scatterChart>
      <c:valAx>
        <c:axId val="41233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Abrasive Particle, microns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555777"/>
        <c:crosses val="autoZero"/>
        <c:crossBetween val="midCat"/>
        <c:dispUnits/>
      </c:valAx>
      <c:valAx>
        <c:axId val="35555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Flaw depth/grain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2333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Loose Abrasive, Flaw Depth/Max Particle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08825"/>
          <c:w val="0.91225"/>
          <c:h val="0.8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'Surface damage Zerodur'!$AI$9</c:f>
              <c:strCache>
                <c:ptCount val="1"/>
                <c:pt idx="0">
                  <c:v>particle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'Surface damage Zerodur'!$AH$10:$AH$14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'Surface damage Zerodur'!$AI$10:$AI$14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51566538"/>
        <c:axId val="61445659"/>
      </c:scatterChart>
      <c:valAx>
        <c:axId val="51566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Particle size, microns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445659"/>
        <c:crosses val="autoZero"/>
        <c:crossBetween val="midCat"/>
        <c:dispUnits/>
      </c:valAx>
      <c:valAx>
        <c:axId val="61445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Flaw depth/max particle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665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Fixed Abrasive, Flaw Depth/Max Particle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08825"/>
          <c:w val="0.91275"/>
          <c:h val="0.823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trendline>
            <c:spPr>
              <a:ln w="25400">
                <a:solidFill>
                  <a:srgbClr val="FF66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'Surface damage Zerodur'!$AF$16:$AF$20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'Surface damage Zerodur'!$AG$16:$AG$20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16140020"/>
        <c:axId val="11042453"/>
      </c:scatterChart>
      <c:valAx>
        <c:axId val="16140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Abrasive Particle Size, microns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042453"/>
        <c:crosses val="autoZero"/>
        <c:crossBetween val="midCat"/>
        <c:dispUnits/>
      </c:valAx>
      <c:valAx>
        <c:axId val="11042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Flaw depth/ particle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1400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Fixed Particle, Flaw Depth /Max Particle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05575"/>
          <c:w val="0.91275"/>
          <c:h val="0.852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trendline>
            <c:spPr>
              <a:ln w="25400">
                <a:solidFill>
                  <a:srgbClr val="FF66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'Surface damage Zerodur'!$AH$16:$AH$20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'Surface damage Zerodur'!$AI$16:$AI$20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32273214"/>
        <c:axId val="22023471"/>
      </c:scatterChart>
      <c:valAx>
        <c:axId val="32273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Particle Size, microns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23471"/>
        <c:crosses val="autoZero"/>
        <c:crossBetween val="midCat"/>
        <c:dispUnits/>
      </c:valAx>
      <c:valAx>
        <c:axId val="22023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Flaw depth/particle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2732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65</xdr:row>
      <xdr:rowOff>28575</xdr:rowOff>
    </xdr:from>
    <xdr:to>
      <xdr:col>7</xdr:col>
      <xdr:colOff>476250</xdr:colOff>
      <xdr:row>86</xdr:row>
      <xdr:rowOff>47625</xdr:rowOff>
    </xdr:to>
    <xdr:graphicFrame>
      <xdr:nvGraphicFramePr>
        <xdr:cNvPr id="1" name="Chart 1"/>
        <xdr:cNvGraphicFramePr/>
      </xdr:nvGraphicFramePr>
      <xdr:xfrm>
        <a:off x="228600" y="10582275"/>
        <a:ext cx="46291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228600</xdr:colOff>
      <xdr:row>2</xdr:row>
      <xdr:rowOff>142875</xdr:rowOff>
    </xdr:from>
    <xdr:to>
      <xdr:col>20</xdr:col>
      <xdr:colOff>57150</xdr:colOff>
      <xdr:row>17</xdr:row>
      <xdr:rowOff>47625</xdr:rowOff>
    </xdr:to>
    <xdr:graphicFrame>
      <xdr:nvGraphicFramePr>
        <xdr:cNvPr id="1" name="Chart 1"/>
        <xdr:cNvGraphicFramePr/>
      </xdr:nvGraphicFramePr>
      <xdr:xfrm>
        <a:off x="9182100" y="466725"/>
        <a:ext cx="34861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76200</xdr:colOff>
      <xdr:row>31</xdr:row>
      <xdr:rowOff>95250</xdr:rowOff>
    </xdr:from>
    <xdr:to>
      <xdr:col>13</xdr:col>
      <xdr:colOff>476250</xdr:colOff>
      <xdr:row>49</xdr:row>
      <xdr:rowOff>19050</xdr:rowOff>
    </xdr:to>
    <xdr:graphicFrame>
      <xdr:nvGraphicFramePr>
        <xdr:cNvPr id="2" name="Chart 2"/>
        <xdr:cNvGraphicFramePr/>
      </xdr:nvGraphicFramePr>
      <xdr:xfrm>
        <a:off x="4152900" y="5114925"/>
        <a:ext cx="46672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65</xdr:row>
      <xdr:rowOff>28575</xdr:rowOff>
    </xdr:from>
    <xdr:to>
      <xdr:col>7</xdr:col>
      <xdr:colOff>476250</xdr:colOff>
      <xdr:row>86</xdr:row>
      <xdr:rowOff>47625</xdr:rowOff>
    </xdr:to>
    <xdr:graphicFrame>
      <xdr:nvGraphicFramePr>
        <xdr:cNvPr id="1" name="Chart 1"/>
        <xdr:cNvGraphicFramePr/>
      </xdr:nvGraphicFramePr>
      <xdr:xfrm>
        <a:off x="228600" y="10582275"/>
        <a:ext cx="46291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35</xdr:col>
      <xdr:colOff>295275</xdr:colOff>
      <xdr:row>2</xdr:row>
      <xdr:rowOff>47625</xdr:rowOff>
    </xdr:from>
    <xdr:to>
      <xdr:col>43</xdr:col>
      <xdr:colOff>95250</xdr:colOff>
      <xdr:row>19</xdr:row>
      <xdr:rowOff>114300</xdr:rowOff>
    </xdr:to>
    <xdr:graphicFrame>
      <xdr:nvGraphicFramePr>
        <xdr:cNvPr id="2" name="Chart 2"/>
        <xdr:cNvGraphicFramePr/>
      </xdr:nvGraphicFramePr>
      <xdr:xfrm>
        <a:off x="21764625" y="371475"/>
        <a:ext cx="467677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35</xdr:col>
      <xdr:colOff>352425</xdr:colOff>
      <xdr:row>20</xdr:row>
      <xdr:rowOff>38100</xdr:rowOff>
    </xdr:from>
    <xdr:to>
      <xdr:col>43</xdr:col>
      <xdr:colOff>142875</xdr:colOff>
      <xdr:row>37</xdr:row>
      <xdr:rowOff>85725</xdr:rowOff>
    </xdr:to>
    <xdr:graphicFrame>
      <xdr:nvGraphicFramePr>
        <xdr:cNvPr id="3" name="Chart 3"/>
        <xdr:cNvGraphicFramePr/>
      </xdr:nvGraphicFramePr>
      <xdr:xfrm>
        <a:off x="21821775" y="3276600"/>
        <a:ext cx="46672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43</xdr:col>
      <xdr:colOff>219075</xdr:colOff>
      <xdr:row>2</xdr:row>
      <xdr:rowOff>85725</xdr:rowOff>
    </xdr:from>
    <xdr:to>
      <xdr:col>51</xdr:col>
      <xdr:colOff>19050</xdr:colOff>
      <xdr:row>19</xdr:row>
      <xdr:rowOff>142875</xdr:rowOff>
    </xdr:to>
    <xdr:graphicFrame>
      <xdr:nvGraphicFramePr>
        <xdr:cNvPr id="4" name="Chart 4"/>
        <xdr:cNvGraphicFramePr/>
      </xdr:nvGraphicFramePr>
      <xdr:xfrm>
        <a:off x="26565225" y="409575"/>
        <a:ext cx="4676775" cy="280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43</xdr:col>
      <xdr:colOff>238125</xdr:colOff>
      <xdr:row>20</xdr:row>
      <xdr:rowOff>85725</xdr:rowOff>
    </xdr:from>
    <xdr:to>
      <xdr:col>51</xdr:col>
      <xdr:colOff>28575</xdr:colOff>
      <xdr:row>37</xdr:row>
      <xdr:rowOff>123825</xdr:rowOff>
    </xdr:to>
    <xdr:graphicFrame>
      <xdr:nvGraphicFramePr>
        <xdr:cNvPr id="5" name="Chart 5"/>
        <xdr:cNvGraphicFramePr/>
      </xdr:nvGraphicFramePr>
      <xdr:xfrm>
        <a:off x="26584275" y="3324225"/>
        <a:ext cx="4667250" cy="2819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21</xdr:row>
      <xdr:rowOff>95250</xdr:rowOff>
    </xdr:from>
    <xdr:to>
      <xdr:col>14</xdr:col>
      <xdr:colOff>523875</xdr:colOff>
      <xdr:row>26</xdr:row>
      <xdr:rowOff>95250</xdr:rowOff>
    </xdr:to>
    <xdr:sp>
      <xdr:nvSpPr>
        <xdr:cNvPr id="1" name="Line 1"/>
        <xdr:cNvSpPr>
          <a:spLocks/>
        </xdr:cNvSpPr>
      </xdr:nvSpPr>
      <xdr:spPr>
        <a:xfrm>
          <a:off x="4772025" y="3495675"/>
          <a:ext cx="47244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21</xdr:row>
      <xdr:rowOff>142875</xdr:rowOff>
    </xdr:from>
    <xdr:to>
      <xdr:col>4</xdr:col>
      <xdr:colOff>38100</xdr:colOff>
      <xdr:row>23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314575" y="3543300"/>
          <a:ext cx="2381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21</xdr:row>
      <xdr:rowOff>142875</xdr:rowOff>
    </xdr:from>
    <xdr:to>
      <xdr:col>4</xdr:col>
      <xdr:colOff>200025</xdr:colOff>
      <xdr:row>23</xdr:row>
      <xdr:rowOff>28575</xdr:rowOff>
    </xdr:to>
    <xdr:sp>
      <xdr:nvSpPr>
        <xdr:cNvPr id="3" name="Line 3"/>
        <xdr:cNvSpPr>
          <a:spLocks/>
        </xdr:cNvSpPr>
      </xdr:nvSpPr>
      <xdr:spPr>
        <a:xfrm>
          <a:off x="2571750" y="3543300"/>
          <a:ext cx="1428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21</xdr:row>
      <xdr:rowOff>142875</xdr:rowOff>
    </xdr:from>
    <xdr:to>
      <xdr:col>5</xdr:col>
      <xdr:colOff>190500</xdr:colOff>
      <xdr:row>23</xdr:row>
      <xdr:rowOff>9525</xdr:rowOff>
    </xdr:to>
    <xdr:sp>
      <xdr:nvSpPr>
        <xdr:cNvPr id="4" name="Line 4"/>
        <xdr:cNvSpPr>
          <a:spLocks/>
        </xdr:cNvSpPr>
      </xdr:nvSpPr>
      <xdr:spPr>
        <a:xfrm>
          <a:off x="2600325" y="3543300"/>
          <a:ext cx="7143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burge\Local%20Settings\Temporary%20Internet%20Files\OLK9F\Crack%20Growt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P2">
            <v>0.25</v>
          </cell>
        </row>
        <row r="3">
          <cell r="E3">
            <v>0.0009087677666946509</v>
          </cell>
        </row>
        <row r="6">
          <cell r="M6">
            <v>0</v>
          </cell>
          <cell r="N6">
            <v>1.99</v>
          </cell>
        </row>
        <row r="7">
          <cell r="M7">
            <v>0.2</v>
          </cell>
          <cell r="N7">
            <v>2.434</v>
          </cell>
        </row>
        <row r="8">
          <cell r="M8">
            <v>0.4</v>
          </cell>
          <cell r="N8">
            <v>3.734</v>
          </cell>
        </row>
        <row r="9">
          <cell r="M9">
            <v>0.6</v>
          </cell>
          <cell r="N9">
            <v>7.143</v>
          </cell>
        </row>
        <row r="10">
          <cell r="M10">
            <v>0.8</v>
          </cell>
          <cell r="N10">
            <v>15.985</v>
          </cell>
        </row>
        <row r="28">
          <cell r="A28">
            <v>0</v>
          </cell>
          <cell r="B28">
            <v>0.021560559392210955</v>
          </cell>
        </row>
        <row r="29">
          <cell r="A29">
            <v>7.357204982895771E-05</v>
          </cell>
          <cell r="B29">
            <v>0.021409635476465478</v>
          </cell>
        </row>
        <row r="30">
          <cell r="A30">
            <v>0.00016290185939594993</v>
          </cell>
          <cell r="B30">
            <v>0.02125976802813022</v>
          </cell>
        </row>
        <row r="31">
          <cell r="A31">
            <v>0.000271206645974622</v>
          </cell>
          <cell r="B31">
            <v>0.021110949651933306</v>
          </cell>
        </row>
        <row r="32">
          <cell r="A32">
            <v>0.0004023278776044335</v>
          </cell>
          <cell r="B32">
            <v>0.020963173004369774</v>
          </cell>
        </row>
        <row r="33">
          <cell r="A33">
            <v>0.000560845981296631</v>
          </cell>
          <cell r="B33">
            <v>0.020816430793339186</v>
          </cell>
        </row>
        <row r="34">
          <cell r="A34">
            <v>0.0007522149286586751</v>
          </cell>
          <cell r="B34">
            <v>0.02067071577778581</v>
          </cell>
        </row>
        <row r="35">
          <cell r="A35">
            <v>0.0009829199307253885</v>
          </cell>
          <cell r="B35">
            <v>0.02052602076734131</v>
          </cell>
        </row>
        <row r="36">
          <cell r="A36">
            <v>0.0012606619636776686</v>
          </cell>
          <cell r="B36">
            <v>0.020382338621969923</v>
          </cell>
        </row>
        <row r="37">
          <cell r="A37">
            <v>0.0015945734057030152</v>
          </cell>
          <cell r="B37">
            <v>0.020239662251616133</v>
          </cell>
        </row>
        <row r="38">
          <cell r="A38">
            <v>0.0019954697013167934</v>
          </cell>
          <cell r="B38">
            <v>0.02009798461585482</v>
          </cell>
        </row>
        <row r="39">
          <cell r="A39">
            <v>0.002476142692848904</v>
          </cell>
          <cell r="B39">
            <v>0.019957298723543838</v>
          </cell>
        </row>
        <row r="40">
          <cell r="A40">
            <v>0.0030517020804597785</v>
          </cell>
          <cell r="B40">
            <v>0.01981759763247903</v>
          </cell>
        </row>
        <row r="41">
          <cell r="A41">
            <v>0.0037399724041701967</v>
          </cell>
          <cell r="B41">
            <v>0.019678874449051677</v>
          </cell>
        </row>
        <row r="42">
          <cell r="A42">
            <v>0.004561953997518293</v>
          </cell>
          <cell r="B42">
            <v>0.019541122327908316</v>
          </cell>
        </row>
        <row r="43">
          <cell r="A43">
            <v>0.005542357557630906</v>
          </cell>
          <cell r="B43">
            <v>0.01940433447161296</v>
          </cell>
        </row>
        <row r="44">
          <cell r="A44">
            <v>0.006710223327387355</v>
          </cell>
          <cell r="B44">
            <v>0.01926850413031167</v>
          </cell>
        </row>
        <row r="45">
          <cell r="A45">
            <v>0.008099637410423516</v>
          </cell>
          <cell r="B45">
            <v>0.019133624601399488</v>
          </cell>
        </row>
        <row r="46">
          <cell r="A46">
            <v>0.009750559459391413</v>
          </cell>
          <cell r="B46">
            <v>0.01899968922918969</v>
          </cell>
        </row>
        <row r="47">
          <cell r="A47">
            <v>0.011709777914711627</v>
          </cell>
          <cell r="B47">
            <v>0.018866691404585363</v>
          </cell>
        </row>
        <row r="48">
          <cell r="A48">
            <v>0.014032011149922398</v>
          </cell>
          <cell r="B48">
            <v>0.018734624564753267</v>
          </cell>
        </row>
        <row r="49">
          <cell r="A49">
            <v>0.01678117532807044</v>
          </cell>
          <cell r="B49">
            <v>0.018603482192799992</v>
          </cell>
        </row>
        <row r="50">
          <cell r="A50">
            <v>0.020031842521601353</v>
          </cell>
          <cell r="B50">
            <v>0.018473257817450392</v>
          </cell>
        </row>
        <row r="51">
          <cell r="A51">
            <v>0.023870915729095655</v>
          </cell>
          <cell r="B51">
            <v>0.01834394501272824</v>
          </cell>
        </row>
        <row r="52">
          <cell r="A52">
            <v>0.028399550872426474</v>
          </cell>
          <cell r="B52">
            <v>0.01821553739763914</v>
          </cell>
        </row>
        <row r="53">
          <cell r="A53">
            <v>0.03373535971749467</v>
          </cell>
          <cell r="B53">
            <v>0.018088028635855666</v>
          </cell>
        </row>
        <row r="54">
          <cell r="A54">
            <v>0.040014931974468745</v>
          </cell>
          <cell r="B54">
            <v>0.017961412435404677</v>
          </cell>
        </row>
        <row r="55">
          <cell r="A55">
            <v>0.04739671964740913</v>
          </cell>
          <cell r="B55">
            <v>0.017835682548356845</v>
          </cell>
        </row>
        <row r="56">
          <cell r="A56">
            <v>0.05606433207076458</v>
          </cell>
          <cell r="B56">
            <v>0.017710832770518346</v>
          </cell>
        </row>
        <row r="57">
          <cell r="A57">
            <v>0.06623029604880357</v>
          </cell>
          <cell r="B57">
            <v>0.017586856941124718</v>
          </cell>
        </row>
        <row r="58">
          <cell r="A58">
            <v>0.07814034216611696</v>
          </cell>
          <cell r="B58">
            <v>0.017463748942536845</v>
          </cell>
        </row>
        <row r="59">
          <cell r="A59">
            <v>0.09207828573105002</v>
          </cell>
          <cell r="B59">
            <v>0.017341502699939088</v>
          </cell>
        </row>
        <row r="60">
          <cell r="A60">
            <v>0.10837157902348796</v>
          </cell>
          <cell r="B60">
            <v>0.017220112181039512</v>
          </cell>
        </row>
        <row r="61">
          <cell r="A61">
            <v>0.12739762062452065</v>
          </cell>
          <cell r="B61">
            <v>0.017099571395772235</v>
          </cell>
        </row>
        <row r="62">
          <cell r="A62">
            <v>0.1495909176958128</v>
          </cell>
          <cell r="B62">
            <v>0.01697987439600183</v>
          </cell>
        </row>
        <row r="63">
          <cell r="A63">
            <v>0.17545120824615867</v>
          </cell>
          <cell r="B63">
            <v>0.016861015275229818</v>
          </cell>
        </row>
        <row r="64">
          <cell r="A64">
            <v>0.2055526627748287</v>
          </cell>
          <cell r="B64">
            <v>0.01674298816830321</v>
          </cell>
        </row>
        <row r="65">
          <cell r="A65">
            <v>0.240554298327674</v>
          </cell>
          <cell r="B65">
            <v>0.016625787251125086</v>
          </cell>
        </row>
        <row r="66">
          <cell r="A66">
            <v>0.28121175306337903</v>
          </cell>
          <cell r="B66">
            <v>0.01650940674036721</v>
          </cell>
        </row>
        <row r="67">
          <cell r="A67">
            <v>0.3283905860344155</v>
          </cell>
          <cell r="B67">
            <v>0.016393840893184637</v>
          </cell>
        </row>
        <row r="68">
          <cell r="A68">
            <v>0.38308128518120643</v>
          </cell>
          <cell r="B68">
            <v>0.016279084006932346</v>
          </cell>
        </row>
        <row r="69">
          <cell r="A69">
            <v>0.44641618667094096</v>
          </cell>
          <cell r="B69">
            <v>0.01616513041888382</v>
          </cell>
        </row>
        <row r="70">
          <cell r="A70">
            <v>0.5196885308483719</v>
          </cell>
          <cell r="B70">
            <v>0.01605197450595163</v>
          </cell>
        </row>
        <row r="71">
          <cell r="A71">
            <v>0.6043739043813142</v>
          </cell>
          <cell r="B71">
            <v>0.01593961068440997</v>
          </cell>
        </row>
        <row r="72">
          <cell r="A72">
            <v>0.7021543448683428</v>
          </cell>
          <cell r="B72">
            <v>0.0158280334096191</v>
          </cell>
        </row>
        <row r="73">
          <cell r="A73">
            <v>0.8149454134343947</v>
          </cell>
          <cell r="B73">
            <v>0.015717237175751766</v>
          </cell>
        </row>
        <row r="74">
          <cell r="A74">
            <v>0.9449265728905881</v>
          </cell>
          <cell r="B74">
            <v>0.015607216515521504</v>
          </cell>
        </row>
        <row r="75">
          <cell r="A75">
            <v>1.0945752441124985</v>
          </cell>
          <cell r="B75">
            <v>0.015497965999912853</v>
          </cell>
        </row>
        <row r="76">
          <cell r="A76">
            <v>1.2667049516480469</v>
          </cell>
          <cell r="B76">
            <v>0.015389480237913464</v>
          </cell>
        </row>
        <row r="77">
          <cell r="A77">
            <v>1.4645080114713651</v>
          </cell>
          <cell r="B77">
            <v>0.01528175387624807</v>
          </cell>
        </row>
        <row r="78">
          <cell r="A78">
            <v>1.6916032595406425</v>
          </cell>
          <cell r="B78">
            <v>0.015174781599114333</v>
          </cell>
        </row>
        <row r="79">
          <cell r="A79">
            <v>1.9520893697038024</v>
          </cell>
          <cell r="B79">
            <v>0.015068558127920533</v>
          </cell>
        </row>
        <row r="80">
          <cell r="A80">
            <v>2.2506043638543565</v>
          </cell>
          <cell r="B80">
            <v>0.014963078221025088</v>
          </cell>
        </row>
        <row r="81">
          <cell r="A81">
            <v>2.5923919764214416</v>
          </cell>
          <cell r="B81">
            <v>0.014858336673477912</v>
          </cell>
        </row>
        <row r="82">
          <cell r="A82">
            <v>2.9833755996559286</v>
          </cell>
          <cell r="B82">
            <v>0.014754328316763567</v>
          </cell>
        </row>
        <row r="83">
          <cell r="A83">
            <v>3.43024060614626</v>
          </cell>
          <cell r="B83">
            <v>0.014651048018546222</v>
          </cell>
        </row>
        <row r="84">
          <cell r="A84">
            <v>3.940525920985602</v>
          </cell>
          <cell r="B84">
            <v>0.014548490682416398</v>
          </cell>
        </row>
        <row r="85">
          <cell r="A85">
            <v>4.522725798465326</v>
          </cell>
          <cell r="B85">
            <v>0.014446651247639483</v>
          </cell>
        </row>
        <row r="86">
          <cell r="A86">
            <v>5.18640284756528</v>
          </cell>
          <cell r="B86">
            <v>0.014345524688906007</v>
          </cell>
        </row>
        <row r="87">
          <cell r="A87">
            <v>5.942313447354531</v>
          </cell>
          <cell r="B87">
            <v>0.014245106016083664</v>
          </cell>
        </row>
        <row r="88">
          <cell r="A88">
            <v>6.802546798242949</v>
          </cell>
          <cell r="B88">
            <v>0.01414539027397108</v>
          </cell>
        </row>
        <row r="89">
          <cell r="A89">
            <v>7.78067896840175</v>
          </cell>
          <cell r="B89">
            <v>0.014046372542053282</v>
          </cell>
        </row>
        <row r="90">
          <cell r="A90">
            <v>8.891943417199668</v>
          </cell>
          <cell r="B90">
            <v>0.01394804793425891</v>
          </cell>
        </row>
        <row r="91">
          <cell r="A91">
            <v>10.15341960981559</v>
          </cell>
          <cell r="B91">
            <v>0.013850411598719097</v>
          </cell>
        </row>
        <row r="92">
          <cell r="A92">
            <v>11.584241479957562</v>
          </cell>
          <cell r="B92">
            <v>0.013753458717528063</v>
          </cell>
        </row>
        <row r="93">
          <cell r="A93">
            <v>13.205827651549466</v>
          </cell>
          <cell r="B93">
            <v>0.013657184506505366</v>
          </cell>
        </row>
        <row r="94">
          <cell r="A94">
            <v>15.04213549608437</v>
          </cell>
          <cell r="B94">
            <v>0.01356158421495983</v>
          </cell>
        </row>
        <row r="95">
          <cell r="A95">
            <v>17.119941280873526</v>
          </cell>
          <cell r="B95">
            <v>0.01346665312545511</v>
          </cell>
        </row>
        <row r="96">
          <cell r="A96">
            <v>19.469148855466692</v>
          </cell>
          <cell r="B96">
            <v>0.013372386553576924</v>
          </cell>
        </row>
        <row r="97">
          <cell r="A97">
            <v>22.123129529952024</v>
          </cell>
          <cell r="B97">
            <v>0.013278779847701885</v>
          </cell>
        </row>
        <row r="98">
          <cell r="A98">
            <v>25.119096020573696</v>
          </cell>
          <cell r="B98">
            <v>0.013185828388767973</v>
          </cell>
        </row>
        <row r="99">
          <cell r="A99">
            <v>28.498513576090513</v>
          </cell>
          <cell r="B99">
            <v>0.013093527590046597</v>
          </cell>
        </row>
        <row r="100">
          <cell r="A100">
            <v>32.30755165354213</v>
          </cell>
          <cell r="B100">
            <v>0.013001872896916272</v>
          </cell>
        </row>
        <row r="101">
          <cell r="A101">
            <v>36.59757978564443</v>
          </cell>
          <cell r="B101">
            <v>0.012910859786637858</v>
          </cell>
        </row>
        <row r="102">
          <cell r="A102">
            <v>41.42571157500191</v>
          </cell>
          <cell r="B102">
            <v>0.012820483768131392</v>
          </cell>
        </row>
        <row r="103">
          <cell r="A103">
            <v>46.85540106385595</v>
          </cell>
          <cell r="B103">
            <v>0.012730740381754473</v>
          </cell>
        </row>
        <row r="104">
          <cell r="A104">
            <v>52.95709606338687</v>
          </cell>
          <cell r="B104">
            <v>0.012641625199082192</v>
          </cell>
        </row>
        <row r="105">
          <cell r="A105">
            <v>59.808953384911774</v>
          </cell>
          <cell r="B105">
            <v>0.012553133822688616</v>
          </cell>
        </row>
        <row r="106">
          <cell r="A106">
            <v>67.49762129798249</v>
          </cell>
          <cell r="B106">
            <v>0.012465261885929797</v>
          </cell>
        </row>
        <row r="107">
          <cell r="A107">
            <v>76.11909494875427</v>
          </cell>
          <cell r="B107">
            <v>0.012378005052728288</v>
          </cell>
        </row>
        <row r="108">
          <cell r="A108">
            <v>85.77965090749106</v>
          </cell>
          <cell r="B108">
            <v>0.01229135901735919</v>
          </cell>
        </row>
        <row r="109">
          <cell r="A109">
            <v>96.59686747818148</v>
          </cell>
          <cell r="B109">
            <v>0.012205319504237677</v>
          </cell>
        </row>
        <row r="110">
          <cell r="A110">
            <v>108.70073789749836</v>
          </cell>
          <cell r="B110">
            <v>0.012119882267708014</v>
          </cell>
        </row>
        <row r="111">
          <cell r="A111">
            <v>122.23488407634906</v>
          </cell>
          <cell r="B111">
            <v>0.012035043091834058</v>
          </cell>
        </row>
        <row r="112">
          <cell r="A112">
            <v>137.35787909669375</v>
          </cell>
          <cell r="B112">
            <v>0.01195079779019122</v>
          </cell>
        </row>
        <row r="113">
          <cell r="A113">
            <v>154.24468727087725</v>
          </cell>
          <cell r="B113">
            <v>0.011867142205659882</v>
          </cell>
        </row>
        <row r="114">
          <cell r="A114">
            <v>173.0882312022161</v>
          </cell>
          <cell r="B114">
            <v>0.011784072210220263</v>
          </cell>
        </row>
        <row r="115">
          <cell r="A115">
            <v>194.10109595585203</v>
          </cell>
          <cell r="B115">
            <v>0.011701583704748721</v>
          </cell>
        </row>
        <row r="116">
          <cell r="A116">
            <v>217.51738115984026</v>
          </cell>
          <cell r="B116">
            <v>0.011619672618815479</v>
          </cell>
        </row>
        <row r="117">
          <cell r="A117">
            <v>243.5947126100633</v>
          </cell>
          <cell r="B117">
            <v>0.01153833491048377</v>
          </cell>
        </row>
        <row r="118">
          <cell r="A118">
            <v>272.6164257508868</v>
          </cell>
          <cell r="B118">
            <v>0.011457566566110385</v>
          </cell>
        </row>
        <row r="119">
          <cell r="A119">
            <v>304.8939342486131</v>
          </cell>
          <cell r="B119">
            <v>0.011377363600147612</v>
          </cell>
        </row>
        <row r="120">
          <cell r="A120">
            <v>340.7692977689064</v>
          </cell>
          <cell r="B120">
            <v>0.011297722054946578</v>
          </cell>
        </row>
        <row r="121">
          <cell r="A121">
            <v>380.6180040146995</v>
          </cell>
          <cell r="B121">
            <v>0.011218638000561953</v>
          </cell>
        </row>
        <row r="122">
          <cell r="A122">
            <v>424.85198107994324</v>
          </cell>
          <cell r="B122">
            <v>0.01114010753455802</v>
          </cell>
        </row>
        <row r="123">
          <cell r="A123">
            <v>473.9228572292868</v>
          </cell>
          <cell r="B123">
            <v>0.011062126781816114</v>
          </cell>
        </row>
        <row r="124">
          <cell r="A124">
            <v>528.3254863268198</v>
          </cell>
          <cell r="B124">
            <v>0.010984691894343401</v>
          </cell>
        </row>
        <row r="125">
          <cell r="A125">
            <v>588.6017583108362</v>
          </cell>
          <cell r="B125">
            <v>0.010907799051082996</v>
          </cell>
        </row>
        <row r="126">
          <cell r="A126">
            <v>655.344715348758</v>
          </cell>
          <cell r="B126">
            <v>0.010831444457725416</v>
          </cell>
        </row>
        <row r="127">
          <cell r="A127">
            <v>729.2029956095125</v>
          </cell>
          <cell r="B127">
            <v>0.010755624346521338</v>
          </cell>
        </row>
        <row r="128">
          <cell r="A128">
            <v>810.8856279624335</v>
          </cell>
          <cell r="B128">
            <v>0.010680334976095688</v>
          </cell>
        </row>
        <row r="129">
          <cell r="A129">
            <v>901.1672023549038</v>
          </cell>
          <cell r="B129">
            <v>0.010605572631263018</v>
          </cell>
        </row>
        <row r="130">
          <cell r="A130">
            <v>1000.8934421382799</v>
          </cell>
          <cell r="B130">
            <v>0.010531333622844178</v>
          </cell>
        </row>
        <row r="131">
          <cell r="A131">
            <v>1110.9872062059492</v>
          </cell>
          <cell r="B131">
            <v>0.010457614287484268</v>
          </cell>
        </row>
        <row r="132">
          <cell r="A132">
            <v>1232.4549504815973</v>
          </cell>
          <cell r="B132">
            <v>0.010384410987471879</v>
          </cell>
        </row>
        <row r="133">
          <cell r="A133">
            <v>1366.3936800528427</v>
          </cell>
          <cell r="B133">
            <v>0.010311720110559575</v>
          </cell>
        </row>
        <row r="134">
          <cell r="A134">
            <v>1513.9984250883326</v>
          </cell>
          <cell r="B134">
            <v>0.010239538069785658</v>
          </cell>
        </row>
        <row r="135">
          <cell r="A135">
            <v>1676.5702756082428</v>
          </cell>
          <cell r="B135">
            <v>0.010167861303297158</v>
          </cell>
        </row>
        <row r="136">
          <cell r="A136">
            <v>1855.5250122019474</v>
          </cell>
          <cell r="B136">
            <v>0.010096686274174078</v>
          </cell>
        </row>
        <row r="137">
          <cell r="A137">
            <v>2052.4023719056217</v>
          </cell>
          <cell r="B137">
            <v>0.01002600947025486</v>
          </cell>
        </row>
        <row r="138">
          <cell r="A138">
            <v>2268.875990669758</v>
          </cell>
          <cell r="B138">
            <v>0.009955827403963075</v>
          </cell>
        </row>
        <row r="139">
          <cell r="A139">
            <v>2506.7640661654223</v>
          </cell>
          <cell r="B139">
            <v>0.009886136612135334</v>
          </cell>
        </row>
        <row r="140">
          <cell r="A140">
            <v>2768.0407871014945</v>
          </cell>
          <cell r="B140">
            <v>0.009816933655850386</v>
          </cell>
        </row>
        <row r="141">
          <cell r="A141">
            <v>3054.8485777567457</v>
          </cell>
          <cell r="B141">
            <v>0.009748215120259434</v>
          </cell>
        </row>
        <row r="142">
          <cell r="A142">
            <v>3369.5112090733282</v>
          </cell>
          <cell r="B142">
            <v>0.009679977614417617</v>
          </cell>
        </row>
        <row r="143">
          <cell r="A143">
            <v>3714.5478304157105</v>
          </cell>
          <cell r="B143">
            <v>0.009612217771116694</v>
          </cell>
        </row>
        <row r="144">
          <cell r="A144">
            <v>4092.6879789743507</v>
          </cell>
          <cell r="B144">
            <v>0.009544932246718877</v>
          </cell>
        </row>
        <row r="145">
          <cell r="A145">
            <v>4506.887626789976</v>
          </cell>
          <cell r="B145">
            <v>0.009478117720991846</v>
          </cell>
        </row>
        <row r="146">
          <cell r="A146">
            <v>4960.346328495417</v>
          </cell>
          <cell r="B146">
            <v>0.009411770896944902</v>
          </cell>
        </row>
        <row r="147">
          <cell r="A147">
            <v>5456.525536120986</v>
          </cell>
          <cell r="B147">
            <v>0.009345888500666288</v>
          </cell>
        </row>
        <row r="148">
          <cell r="A148">
            <v>5999.168150689572</v>
          </cell>
          <cell r="B148">
            <v>0.009280467281161624</v>
          </cell>
        </row>
        <row r="149">
          <cell r="A149">
            <v>6592.3193838424395</v>
          </cell>
          <cell r="B149">
            <v>0.009215504010193493</v>
          </cell>
        </row>
        <row r="150">
          <cell r="A150">
            <v>7240.3490063892195</v>
          </cell>
          <cell r="B150">
            <v>0.009150995482122138</v>
          </cell>
        </row>
        <row r="151">
          <cell r="A151">
            <v>7947.975064469324</v>
          </cell>
          <cell r="B151">
            <v>0.009086938513747284</v>
          </cell>
        </row>
        <row r="152">
          <cell r="A152">
            <v>8720.28914794989</v>
          </cell>
          <cell r="B152">
            <v>0.009023329944151053</v>
          </cell>
        </row>
        <row r="153">
          <cell r="A153">
            <v>9562.783299771001</v>
          </cell>
          <cell r="B153">
            <v>0.008960166634541996</v>
          </cell>
        </row>
        <row r="154">
          <cell r="A154">
            <v>10481.378659184904</v>
          </cell>
          <cell r="B154">
            <v>0.008897445468100201</v>
          </cell>
        </row>
        <row r="155">
          <cell r="A155">
            <v>11482.455936226012</v>
          </cell>
          <cell r="B155">
            <v>0.0088351633498235</v>
          </cell>
        </row>
        <row r="156">
          <cell r="A156">
            <v>12572.887819295152</v>
          </cell>
          <cell r="B156">
            <v>0.008773317206374736</v>
          </cell>
        </row>
        <row r="157">
          <cell r="A157">
            <v>13760.07342244796</v>
          </cell>
          <cell r="B157">
            <v>0.008711903985930114</v>
          </cell>
        </row>
        <row r="158">
          <cell r="A158">
            <v>15051.974883846571</v>
          </cell>
          <cell r="B158">
            <v>0.008650920658028603</v>
          </cell>
        </row>
        <row r="159">
          <cell r="A159">
            <v>16457.15623186828</v>
          </cell>
          <cell r="B159">
            <v>0.008590364213422403</v>
          </cell>
        </row>
        <row r="160">
          <cell r="A160">
            <v>17984.824640567782</v>
          </cell>
          <cell r="B160">
            <v>0.008530231663928446</v>
          </cell>
        </row>
        <row r="161">
          <cell r="A161">
            <v>19644.874201563158</v>
          </cell>
          <cell r="B161">
            <v>0.008470520042280947</v>
          </cell>
        </row>
        <row r="162">
          <cell r="A162">
            <v>21447.93234496278</v>
          </cell>
          <cell r="B162">
            <v>0.00841122640198498</v>
          </cell>
        </row>
        <row r="163">
          <cell r="A163">
            <v>23405.4090476731</v>
          </cell>
          <cell r="B163">
            <v>0.008352347817171086</v>
          </cell>
        </row>
        <row r="164">
          <cell r="A164">
            <v>25529.548973327797</v>
          </cell>
          <cell r="B164">
            <v>0.008293881382450888</v>
          </cell>
        </row>
        <row r="165">
          <cell r="A165">
            <v>27833.48669415981</v>
          </cell>
          <cell r="B165">
            <v>0.008235824212773732</v>
          </cell>
        </row>
        <row r="166">
          <cell r="A166">
            <v>30331.305151400527</v>
          </cell>
          <cell r="B166">
            <v>0.008178173443284316</v>
          </cell>
        </row>
        <row r="167">
          <cell r="A167">
            <v>33038.097517237606</v>
          </cell>
          <cell r="B167">
            <v>0.008120926229181325</v>
          </cell>
        </row>
        <row r="168">
          <cell r="A168">
            <v>35970.0326279951</v>
          </cell>
          <cell r="B168">
            <v>0.008064079745577057</v>
          </cell>
        </row>
        <row r="169">
          <cell r="A169">
            <v>39144.424165019576</v>
          </cell>
          <cell r="B169">
            <v>0.008007631187358017</v>
          </cell>
        </row>
        <row r="170">
          <cell r="A170">
            <v>42579.80376676403</v>
          </cell>
          <cell r="B170">
            <v>0.007951577769046512</v>
          </cell>
        </row>
        <row r="171">
          <cell r="A171">
            <v>46295.998262758985</v>
          </cell>
          <cell r="B171">
            <v>0.007895916724663186</v>
          </cell>
        </row>
        <row r="172">
          <cell r="A172">
            <v>50314.21122754895</v>
          </cell>
          <cell r="B172">
            <v>0.007840645307590544</v>
          </cell>
        </row>
        <row r="173">
          <cell r="A173">
            <v>54657.10906025153</v>
          </cell>
          <cell r="B173">
            <v>0.00778576079043741</v>
          </cell>
        </row>
        <row r="174">
          <cell r="A174">
            <v>59348.91180316809</v>
          </cell>
          <cell r="B174">
            <v>0.007731260464904348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K143"/>
  <sheetViews>
    <sheetView tabSelected="1" zoomScale="85" zoomScaleNormal="85" workbookViewId="0" topLeftCell="F1">
      <selection activeCell="M7" sqref="M7"/>
    </sheetView>
  </sheetViews>
  <sheetFormatPr defaultColWidth="9.140625" defaultRowHeight="12.75"/>
  <cols>
    <col min="5" max="5" width="9.57421875" style="0" bestFit="1" customWidth="1"/>
    <col min="6" max="6" width="10.421875" style="0" customWidth="1"/>
    <col min="9" max="9" width="11.00390625" style="0" customWidth="1"/>
    <col min="10" max="10" width="12.7109375" style="0" customWidth="1"/>
    <col min="14" max="14" width="9.00390625" style="0" customWidth="1"/>
    <col min="21" max="21" width="9.57421875" style="0" bestFit="1" customWidth="1"/>
    <col min="27" max="27" width="3.7109375" style="0" customWidth="1"/>
  </cols>
  <sheetData>
    <row r="1" spans="1:26" ht="12.75">
      <c r="A1" s="37" t="s">
        <v>168</v>
      </c>
      <c r="B1" s="37"/>
      <c r="C1" s="37"/>
      <c r="D1" s="37"/>
      <c r="E1" s="37"/>
      <c r="F1" s="37"/>
      <c r="G1" s="37"/>
      <c r="H1" s="37"/>
      <c r="I1" s="37"/>
      <c r="J1" s="37"/>
      <c r="M1" t="s">
        <v>167</v>
      </c>
      <c r="T1" s="1" t="s">
        <v>162</v>
      </c>
      <c r="U1" s="8">
        <v>609.91</v>
      </c>
      <c r="V1" s="33" t="s">
        <v>163</v>
      </c>
      <c r="W1" s="8">
        <v>19.7605</v>
      </c>
      <c r="X1" s="1" t="s">
        <v>164</v>
      </c>
      <c r="Z1">
        <v>4.119712723207435E-19</v>
      </c>
    </row>
    <row r="2" spans="1:21" ht="12.75">
      <c r="A2" s="37"/>
      <c r="B2" s="37"/>
      <c r="C2" s="37"/>
      <c r="D2" s="37"/>
      <c r="E2" s="37"/>
      <c r="F2" s="37"/>
      <c r="G2" s="37"/>
      <c r="H2" s="37"/>
      <c r="I2" s="37"/>
      <c r="J2" s="37"/>
      <c r="U2" t="s">
        <v>171</v>
      </c>
    </row>
    <row r="3" spans="1:19" ht="12.75">
      <c r="A3" s="37"/>
      <c r="B3" s="37"/>
      <c r="C3" s="37"/>
      <c r="D3" s="37"/>
      <c r="E3" s="37"/>
      <c r="F3" s="37"/>
      <c r="G3" s="37"/>
      <c r="H3" s="37"/>
      <c r="I3" s="37"/>
      <c r="J3" s="37"/>
      <c r="L3" t="s">
        <v>67</v>
      </c>
      <c r="N3" s="30">
        <v>1000000</v>
      </c>
      <c r="O3" t="s">
        <v>68</v>
      </c>
      <c r="P3" s="11">
        <f>AC12</f>
        <v>2.6453927499168595</v>
      </c>
      <c r="Q3" s="11">
        <f>AC14</f>
        <v>0</v>
      </c>
      <c r="R3" s="11">
        <f>AC16</f>
        <v>0</v>
      </c>
      <c r="S3" s="11">
        <f>AC19</f>
        <v>0</v>
      </c>
    </row>
    <row r="4" spans="1:22" ht="12.75">
      <c r="A4" s="37"/>
      <c r="B4" s="37"/>
      <c r="C4" s="37"/>
      <c r="D4" s="37"/>
      <c r="E4" s="37"/>
      <c r="F4" s="37"/>
      <c r="G4" s="37"/>
      <c r="H4" s="37"/>
      <c r="I4" s="37"/>
      <c r="J4" s="37"/>
      <c r="L4" t="s">
        <v>69</v>
      </c>
      <c r="N4" s="2">
        <v>0.01</v>
      </c>
      <c r="T4" t="s">
        <v>136</v>
      </c>
      <c r="U4" s="8">
        <v>784</v>
      </c>
      <c r="V4" t="s">
        <v>166</v>
      </c>
    </row>
    <row r="5" spans="1:31" ht="12.75">
      <c r="A5" s="37"/>
      <c r="B5" s="37"/>
      <c r="C5" s="37"/>
      <c r="D5" s="37"/>
      <c r="E5" s="37"/>
      <c r="F5" s="37"/>
      <c r="G5" s="37"/>
      <c r="H5" s="37"/>
      <c r="I5" s="37"/>
      <c r="J5" s="37"/>
      <c r="L5" t="s">
        <v>73</v>
      </c>
      <c r="N5" s="31">
        <v>60</v>
      </c>
      <c r="O5" t="s">
        <v>74</v>
      </c>
      <c r="P5" t="s">
        <v>158</v>
      </c>
      <c r="AE5" s="1"/>
    </row>
    <row r="6" spans="16:35" ht="12.75">
      <c r="P6" t="s">
        <v>159</v>
      </c>
      <c r="U6" t="s">
        <v>133</v>
      </c>
      <c r="V6" t="s">
        <v>133</v>
      </c>
      <c r="AB6" t="s">
        <v>148</v>
      </c>
      <c r="AG6" s="1"/>
      <c r="AI6" s="1"/>
    </row>
    <row r="7" spans="9:35" ht="12.75">
      <c r="I7" t="s">
        <v>1</v>
      </c>
      <c r="K7" s="38" t="s">
        <v>39</v>
      </c>
      <c r="L7" s="38"/>
      <c r="M7" s="1">
        <v>113</v>
      </c>
      <c r="N7" s="1" t="s">
        <v>40</v>
      </c>
      <c r="P7" t="s">
        <v>160</v>
      </c>
      <c r="U7" t="s">
        <v>137</v>
      </c>
      <c r="V7" t="s">
        <v>137</v>
      </c>
      <c r="X7" s="40" t="s">
        <v>144</v>
      </c>
      <c r="Y7" s="40"/>
      <c r="Z7" s="40"/>
      <c r="AG7" s="1"/>
      <c r="AI7" s="1"/>
    </row>
    <row r="8" spans="1:37" ht="12.75">
      <c r="A8" t="s">
        <v>41</v>
      </c>
      <c r="K8" t="s">
        <v>75</v>
      </c>
      <c r="M8" s="1">
        <v>10</v>
      </c>
      <c r="N8" t="s">
        <v>76</v>
      </c>
      <c r="S8" t="s">
        <v>47</v>
      </c>
      <c r="U8" t="s">
        <v>134</v>
      </c>
      <c r="V8" t="s">
        <v>134</v>
      </c>
      <c r="Y8" s="1" t="s">
        <v>143</v>
      </c>
      <c r="Z8" s="1" t="s">
        <v>28</v>
      </c>
      <c r="AB8" s="1" t="s">
        <v>143</v>
      </c>
      <c r="AC8" s="1" t="s">
        <v>28</v>
      </c>
      <c r="AD8" s="1"/>
      <c r="AF8" s="1"/>
      <c r="AG8" s="1"/>
      <c r="AH8" s="1"/>
      <c r="AI8" s="1"/>
      <c r="AK8" s="1"/>
    </row>
    <row r="9" spans="2:37" ht="12.75">
      <c r="B9" t="s">
        <v>42</v>
      </c>
      <c r="C9" t="s">
        <v>43</v>
      </c>
      <c r="E9" t="s">
        <v>47</v>
      </c>
      <c r="I9" t="s">
        <v>2</v>
      </c>
      <c r="J9" t="s">
        <v>3</v>
      </c>
      <c r="K9" t="s">
        <v>4</v>
      </c>
      <c r="L9" t="s">
        <v>5</v>
      </c>
      <c r="M9" t="s">
        <v>8</v>
      </c>
      <c r="P9" s="1" t="s">
        <v>112</v>
      </c>
      <c r="Q9" s="1" t="s">
        <v>113</v>
      </c>
      <c r="R9" s="1" t="s">
        <v>114</v>
      </c>
      <c r="S9" s="1" t="s">
        <v>6</v>
      </c>
      <c r="T9" s="1" t="s">
        <v>115</v>
      </c>
      <c r="U9" s="1" t="s">
        <v>135</v>
      </c>
      <c r="V9" s="1" t="s">
        <v>138</v>
      </c>
      <c r="X9" s="1"/>
      <c r="Y9" s="1" t="s">
        <v>140</v>
      </c>
      <c r="Z9" s="1" t="s">
        <v>140</v>
      </c>
      <c r="AB9" s="1" t="s">
        <v>149</v>
      </c>
      <c r="AC9" s="1" t="s">
        <v>149</v>
      </c>
      <c r="AD9" s="1"/>
      <c r="AE9" s="1"/>
      <c r="AF9" s="1"/>
      <c r="AG9" s="1"/>
      <c r="AH9" s="1"/>
      <c r="AI9" s="1"/>
      <c r="AK9" s="1"/>
    </row>
    <row r="10" spans="2:30" ht="12.75">
      <c r="B10" t="s">
        <v>44</v>
      </c>
      <c r="C10" t="s">
        <v>45</v>
      </c>
      <c r="E10" t="s">
        <v>46</v>
      </c>
      <c r="K10" t="s">
        <v>6</v>
      </c>
      <c r="AB10" s="1"/>
      <c r="AC10" s="1"/>
      <c r="AD10" s="1"/>
    </row>
    <row r="11" spans="2:37" ht="12.75">
      <c r="B11" t="s">
        <v>48</v>
      </c>
      <c r="C11" t="s">
        <v>49</v>
      </c>
      <c r="E11" t="s">
        <v>50</v>
      </c>
      <c r="I11" t="s">
        <v>86</v>
      </c>
      <c r="J11" t="s">
        <v>10</v>
      </c>
      <c r="K11" s="1">
        <v>70.6</v>
      </c>
      <c r="L11" s="1">
        <v>30.4</v>
      </c>
      <c r="M11" s="1">
        <v>19.5</v>
      </c>
      <c r="P11" s="10">
        <f aca="true" t="shared" si="0" ref="P11:P25">($N$3/$M$7)^(1/L11)</f>
        <v>1.3484440954487735</v>
      </c>
      <c r="Q11" s="10">
        <f aca="true" t="shared" si="1" ref="Q11:Q25">1/((LN(1/(1-$N$4)))^(1/L11))</f>
        <v>1.1633696888858924</v>
      </c>
      <c r="R11" s="10">
        <f aca="true" t="shared" si="2" ref="R11:R25">($N$5/$M$8)^(1/M11)</f>
        <v>1.096238858080543</v>
      </c>
      <c r="S11" s="11">
        <f aca="true" t="shared" si="3" ref="S11:S25">K11/(P11*Q11*R11)</f>
        <v>41.053370485766095</v>
      </c>
      <c r="T11" s="6">
        <f aca="true" t="shared" si="4" ref="T11:T25">S11*1000000/6895</f>
        <v>5954.078388073401</v>
      </c>
      <c r="U11" s="13">
        <v>0.0008522607353859899</v>
      </c>
      <c r="V11" s="6">
        <f>U11/0.00003937</f>
        <v>21.647465973736093</v>
      </c>
      <c r="X11" t="s">
        <v>169</v>
      </c>
      <c r="Y11" s="1">
        <v>9</v>
      </c>
      <c r="Z11" s="1">
        <v>19</v>
      </c>
      <c r="AB11" s="11">
        <f>V11/Y11</f>
        <v>2.405273997081788</v>
      </c>
      <c r="AC11" s="11">
        <f>V11/Z11</f>
        <v>1.1393403144071628</v>
      </c>
      <c r="AD11" s="1"/>
      <c r="AF11" s="1"/>
      <c r="AG11" s="11"/>
      <c r="AH11" s="1"/>
      <c r="AI11" s="11"/>
      <c r="AK11" s="1"/>
    </row>
    <row r="12" spans="5:37" ht="12.75">
      <c r="E12" t="s">
        <v>51</v>
      </c>
      <c r="F12" t="s">
        <v>52</v>
      </c>
      <c r="I12" t="s">
        <v>86</v>
      </c>
      <c r="J12" t="s">
        <v>16</v>
      </c>
      <c r="K12" s="1">
        <v>50.3</v>
      </c>
      <c r="L12" s="1">
        <v>13.3</v>
      </c>
      <c r="M12" s="9">
        <f>M11</f>
        <v>19.5</v>
      </c>
      <c r="P12" s="10">
        <f t="shared" si="0"/>
        <v>1.9804369440862162</v>
      </c>
      <c r="Q12" s="10">
        <f t="shared" si="1"/>
        <v>1.4132271975920183</v>
      </c>
      <c r="R12" s="10">
        <f t="shared" si="2"/>
        <v>1.096238858080543</v>
      </c>
      <c r="S12" s="11">
        <f t="shared" si="3"/>
        <v>16.394183302083025</v>
      </c>
      <c r="T12" s="6">
        <f t="shared" si="4"/>
        <v>2377.691559402904</v>
      </c>
      <c r="U12" s="13">
        <v>0.006561394091546285</v>
      </c>
      <c r="V12" s="6">
        <f>U12/0.00003937</f>
        <v>166.65974324476215</v>
      </c>
      <c r="X12" t="s">
        <v>170</v>
      </c>
      <c r="Y12" s="1">
        <v>58</v>
      </c>
      <c r="Z12" s="1">
        <v>63</v>
      </c>
      <c r="AB12" s="11">
        <f>V12/Y12</f>
        <v>2.8734438490476233</v>
      </c>
      <c r="AC12" s="11">
        <f>V12/Z12</f>
        <v>2.6453927499168595</v>
      </c>
      <c r="AD12" s="1"/>
      <c r="AF12" s="1"/>
      <c r="AG12" s="11"/>
      <c r="AH12" s="1"/>
      <c r="AI12" s="11"/>
      <c r="AK12" s="1"/>
    </row>
    <row r="13" spans="2:37" ht="12.75">
      <c r="B13" t="s">
        <v>53</v>
      </c>
      <c r="C13" t="s">
        <v>54</v>
      </c>
      <c r="F13" t="s">
        <v>55</v>
      </c>
      <c r="I13" t="s">
        <v>86</v>
      </c>
      <c r="J13" t="s">
        <v>20</v>
      </c>
      <c r="K13" s="1">
        <v>234.7</v>
      </c>
      <c r="L13" s="1">
        <v>4.1</v>
      </c>
      <c r="M13" s="9">
        <f>M12</f>
        <v>19.5</v>
      </c>
      <c r="P13" s="10">
        <f t="shared" si="0"/>
        <v>9.176219514838742</v>
      </c>
      <c r="Q13" s="10">
        <f t="shared" si="1"/>
        <v>3.0709520154725443</v>
      </c>
      <c r="R13" s="10">
        <f t="shared" si="2"/>
        <v>1.096238858080543</v>
      </c>
      <c r="S13" s="11">
        <f t="shared" si="3"/>
        <v>7.597506363050033</v>
      </c>
      <c r="T13" s="6">
        <f t="shared" si="4"/>
        <v>1101.8863470703454</v>
      </c>
      <c r="U13" s="13">
        <v>0.03563384901941522</v>
      </c>
      <c r="V13" s="6"/>
      <c r="Y13" s="1"/>
      <c r="Z13" s="1"/>
      <c r="AB13" s="11"/>
      <c r="AC13" s="11"/>
      <c r="AD13" s="1"/>
      <c r="AF13" s="1"/>
      <c r="AG13" s="11"/>
      <c r="AH13" s="1"/>
      <c r="AI13" s="11"/>
      <c r="AK13" s="1"/>
    </row>
    <row r="14" spans="6:37" ht="12.75">
      <c r="F14" t="s">
        <v>56</v>
      </c>
      <c r="I14" t="s">
        <v>87</v>
      </c>
      <c r="J14" t="s">
        <v>10</v>
      </c>
      <c r="K14" s="1">
        <v>68.9</v>
      </c>
      <c r="L14" s="1">
        <v>14.1</v>
      </c>
      <c r="M14" s="1">
        <v>26.3</v>
      </c>
      <c r="P14" s="10">
        <f t="shared" si="0"/>
        <v>1.9051251691366364</v>
      </c>
      <c r="Q14" s="10">
        <f t="shared" si="1"/>
        <v>1.3857641470461415</v>
      </c>
      <c r="R14" s="10">
        <f t="shared" si="2"/>
        <v>1.0705020419003555</v>
      </c>
      <c r="S14" s="11">
        <f t="shared" si="3"/>
        <v>24.37916834605075</v>
      </c>
      <c r="T14" s="6">
        <f t="shared" si="4"/>
        <v>3535.774959543256</v>
      </c>
      <c r="U14" s="13">
        <v>0.002818782256389122</v>
      </c>
      <c r="V14" s="6"/>
      <c r="Y14" s="1"/>
      <c r="Z14" s="1"/>
      <c r="AB14" s="11"/>
      <c r="AC14" s="11"/>
      <c r="AD14" s="1"/>
      <c r="AF14" s="1"/>
      <c r="AG14" s="11"/>
      <c r="AH14" s="1"/>
      <c r="AI14" s="11"/>
      <c r="AK14" s="1"/>
    </row>
    <row r="15" spans="2:30" ht="12.75">
      <c r="B15" t="s">
        <v>57</v>
      </c>
      <c r="C15" t="s">
        <v>59</v>
      </c>
      <c r="I15" t="s">
        <v>88</v>
      </c>
      <c r="J15" t="s">
        <v>10</v>
      </c>
      <c r="K15" s="1">
        <v>58.9</v>
      </c>
      <c r="L15" s="1">
        <v>8.2</v>
      </c>
      <c r="M15" s="1">
        <v>18.2</v>
      </c>
      <c r="P15" s="10">
        <f t="shared" si="0"/>
        <v>3.029227544249316</v>
      </c>
      <c r="Q15" s="10">
        <f t="shared" si="1"/>
        <v>1.7524131976998303</v>
      </c>
      <c r="R15" s="10">
        <f t="shared" si="2"/>
        <v>1.103457378985748</v>
      </c>
      <c r="S15" s="11">
        <f t="shared" si="3"/>
        <v>10.055214029751044</v>
      </c>
      <c r="T15" s="6">
        <f t="shared" si="4"/>
        <v>1458.3341594997887</v>
      </c>
      <c r="U15" s="13">
        <v>0.019326172314483504</v>
      </c>
      <c r="V15" s="6"/>
      <c r="Y15" s="1"/>
      <c r="Z15" s="1"/>
      <c r="AB15" s="11"/>
      <c r="AC15" s="11"/>
      <c r="AD15" s="1"/>
    </row>
    <row r="16" spans="5:35" ht="12.75">
      <c r="E16" t="s">
        <v>58</v>
      </c>
      <c r="I16" t="s">
        <v>89</v>
      </c>
      <c r="J16" t="s">
        <v>10</v>
      </c>
      <c r="K16" s="1">
        <v>62.3</v>
      </c>
      <c r="L16" s="1">
        <v>19.3</v>
      </c>
      <c r="M16" s="1">
        <v>21.6</v>
      </c>
      <c r="P16" s="10">
        <f t="shared" si="0"/>
        <v>1.6014143196320985</v>
      </c>
      <c r="Q16" s="10">
        <f t="shared" si="1"/>
        <v>1.2691529391171803</v>
      </c>
      <c r="R16" s="10">
        <f t="shared" si="2"/>
        <v>1.0864894681336235</v>
      </c>
      <c r="S16" s="11">
        <f t="shared" si="3"/>
        <v>28.212713483078414</v>
      </c>
      <c r="T16" s="6">
        <f t="shared" si="4"/>
        <v>4091.764101969313</v>
      </c>
      <c r="U16" s="13">
        <v>0.001999554244208265</v>
      </c>
      <c r="V16" s="6"/>
      <c r="Y16" s="1"/>
      <c r="Z16" s="1"/>
      <c r="AB16" s="11"/>
      <c r="AC16" s="11"/>
      <c r="AD16" s="1"/>
      <c r="AF16" s="1"/>
      <c r="AG16" s="11"/>
      <c r="AH16" s="1"/>
      <c r="AI16" s="11"/>
    </row>
    <row r="17" spans="5:35" ht="12.75">
      <c r="E17" t="s">
        <v>60</v>
      </c>
      <c r="I17" t="s">
        <v>90</v>
      </c>
      <c r="J17" t="s">
        <v>10</v>
      </c>
      <c r="K17" s="1">
        <v>70</v>
      </c>
      <c r="L17" s="1">
        <v>29.9</v>
      </c>
      <c r="M17" s="1">
        <v>23.4</v>
      </c>
      <c r="P17" s="10">
        <f t="shared" si="0"/>
        <v>1.355202098353143</v>
      </c>
      <c r="Q17" s="10">
        <f t="shared" si="1"/>
        <v>1.1663172613600121</v>
      </c>
      <c r="R17" s="10">
        <f t="shared" si="2"/>
        <v>1.0795787486358324</v>
      </c>
      <c r="S17" s="11">
        <f t="shared" si="3"/>
        <v>41.02257752847746</v>
      </c>
      <c r="T17" s="6">
        <f t="shared" si="4"/>
        <v>5949.612404420226</v>
      </c>
      <c r="U17" s="13">
        <v>0.0008535406880213526</v>
      </c>
      <c r="V17" s="6"/>
      <c r="Y17" s="1"/>
      <c r="Z17" s="1"/>
      <c r="AB17" s="11"/>
      <c r="AC17" s="11"/>
      <c r="AD17" s="1"/>
      <c r="AF17" s="1"/>
      <c r="AG17" s="11"/>
      <c r="AH17" s="1"/>
      <c r="AI17" s="11"/>
    </row>
    <row r="18" spans="9:35" ht="12.75">
      <c r="I18" t="s">
        <v>91</v>
      </c>
      <c r="J18" t="s">
        <v>10</v>
      </c>
      <c r="K18" s="1">
        <v>64.8</v>
      </c>
      <c r="L18" s="1">
        <v>9.3</v>
      </c>
      <c r="M18" s="1">
        <v>21.6</v>
      </c>
      <c r="P18" s="10">
        <f t="shared" si="0"/>
        <v>2.6570526943235193</v>
      </c>
      <c r="Q18" s="10">
        <f t="shared" si="1"/>
        <v>1.63990727696854</v>
      </c>
      <c r="R18" s="10">
        <f t="shared" si="2"/>
        <v>1.0864894681336235</v>
      </c>
      <c r="S18" s="11">
        <f t="shared" si="3"/>
        <v>13.6876857112643</v>
      </c>
      <c r="T18" s="6">
        <f t="shared" si="4"/>
        <v>1985.1610893784336</v>
      </c>
      <c r="U18" s="13">
        <v>0.009908137887250503</v>
      </c>
      <c r="V18" s="6"/>
      <c r="Y18" s="1"/>
      <c r="Z18" s="1"/>
      <c r="AB18" s="11"/>
      <c r="AC18" s="11"/>
      <c r="AD18" s="1"/>
      <c r="AF18" s="1"/>
      <c r="AG18" s="11"/>
      <c r="AH18" s="1"/>
      <c r="AI18" s="11"/>
    </row>
    <row r="19" spans="9:35" ht="12.75">
      <c r="I19" t="s">
        <v>92</v>
      </c>
      <c r="J19" t="s">
        <v>10</v>
      </c>
      <c r="K19" s="1">
        <v>74.9</v>
      </c>
      <c r="L19" s="1">
        <v>7.5</v>
      </c>
      <c r="M19" s="1">
        <v>23.2</v>
      </c>
      <c r="P19" s="10">
        <f t="shared" si="0"/>
        <v>3.359357376089521</v>
      </c>
      <c r="Q19" s="10">
        <f t="shared" si="1"/>
        <v>1.8466131476181102</v>
      </c>
      <c r="R19" s="10">
        <f t="shared" si="2"/>
        <v>1.0802916074669426</v>
      </c>
      <c r="S19" s="11">
        <f t="shared" si="3"/>
        <v>11.176573658239057</v>
      </c>
      <c r="T19" s="6">
        <f t="shared" si="4"/>
        <v>1620.967898221763</v>
      </c>
      <c r="U19" s="13">
        <v>0.015642678394643034</v>
      </c>
      <c r="V19" s="6"/>
      <c r="Y19" s="1"/>
      <c r="Z19" s="1"/>
      <c r="AB19" s="11"/>
      <c r="AC19" s="11"/>
      <c r="AD19" s="1"/>
      <c r="AF19" s="1"/>
      <c r="AG19" s="11"/>
      <c r="AH19" s="1"/>
      <c r="AI19" s="11"/>
    </row>
    <row r="20" spans="1:35" ht="12.75">
      <c r="A20" t="s">
        <v>64</v>
      </c>
      <c r="I20" t="s">
        <v>93</v>
      </c>
      <c r="J20" t="s">
        <v>10</v>
      </c>
      <c r="K20" s="1">
        <v>64.7</v>
      </c>
      <c r="L20" s="1">
        <v>17.9</v>
      </c>
      <c r="M20" s="1">
        <v>17.5</v>
      </c>
      <c r="P20" s="10">
        <f t="shared" si="0"/>
        <v>1.6614925985916527</v>
      </c>
      <c r="Q20" s="10">
        <f t="shared" si="1"/>
        <v>1.2930342353760724</v>
      </c>
      <c r="R20" s="10">
        <f t="shared" si="2"/>
        <v>1.1078112871742416</v>
      </c>
      <c r="S20" s="11">
        <f t="shared" si="3"/>
        <v>27.185045248422597</v>
      </c>
      <c r="T20" s="6">
        <f t="shared" si="4"/>
        <v>3942.718672722639</v>
      </c>
      <c r="U20" s="13">
        <v>0.0021535888129422466</v>
      </c>
      <c r="V20" s="6"/>
      <c r="Y20" s="1"/>
      <c r="Z20" s="1"/>
      <c r="AA20" s="34"/>
      <c r="AB20" s="11"/>
      <c r="AC20" s="11"/>
      <c r="AD20" s="1"/>
      <c r="AF20" s="1"/>
      <c r="AG20" s="11"/>
      <c r="AH20" s="1"/>
      <c r="AI20" s="11"/>
    </row>
    <row r="21" spans="9:30" ht="12.75">
      <c r="I21" t="s">
        <v>99</v>
      </c>
      <c r="J21" t="s">
        <v>10</v>
      </c>
      <c r="K21" s="1">
        <v>57.1</v>
      </c>
      <c r="L21" s="1">
        <v>25</v>
      </c>
      <c r="M21" s="1">
        <v>15.4</v>
      </c>
      <c r="P21" s="10">
        <f t="shared" si="0"/>
        <v>1.438390686152615</v>
      </c>
      <c r="Q21" s="10">
        <f t="shared" si="1"/>
        <v>1.202022998035582</v>
      </c>
      <c r="R21" s="10">
        <f t="shared" si="2"/>
        <v>1.1233867623437224</v>
      </c>
      <c r="S21" s="11">
        <f t="shared" si="3"/>
        <v>29.397958129007783</v>
      </c>
      <c r="T21" s="6">
        <f t="shared" si="4"/>
        <v>4263.6632529380395</v>
      </c>
      <c r="U21" s="13">
        <v>0.0018415714479191466</v>
      </c>
      <c r="V21" s="6"/>
      <c r="Y21" s="1"/>
      <c r="Z21" s="1"/>
      <c r="AA21" s="34"/>
      <c r="AB21" s="11"/>
      <c r="AC21" s="11"/>
      <c r="AD21" s="1"/>
    </row>
    <row r="22" spans="2:30" ht="12.75">
      <c r="B22" t="s">
        <v>65</v>
      </c>
      <c r="I22" t="s">
        <v>94</v>
      </c>
      <c r="J22" t="s">
        <v>10</v>
      </c>
      <c r="K22" s="1">
        <v>70.1</v>
      </c>
      <c r="L22" s="1">
        <v>23.9</v>
      </c>
      <c r="M22" s="1">
        <v>19</v>
      </c>
      <c r="P22" s="10">
        <f t="shared" si="0"/>
        <v>1.4626592477677767</v>
      </c>
      <c r="Q22" s="10">
        <f t="shared" si="1"/>
        <v>1.2122460311505725</v>
      </c>
      <c r="R22" s="10">
        <f t="shared" si="2"/>
        <v>1.0988928027655247</v>
      </c>
      <c r="S22" s="11">
        <f t="shared" si="3"/>
        <v>35.977315666702886</v>
      </c>
      <c r="T22" s="6">
        <f t="shared" si="4"/>
        <v>5217.884795750962</v>
      </c>
      <c r="U22" s="13">
        <v>0.0011681241395810895</v>
      </c>
      <c r="V22" s="6"/>
      <c r="Y22" s="1"/>
      <c r="Z22" s="1"/>
      <c r="AA22" s="34"/>
      <c r="AB22" s="11"/>
      <c r="AC22" s="11"/>
      <c r="AD22" s="1"/>
    </row>
    <row r="23" spans="4:30" ht="12.75">
      <c r="D23" s="1" t="s">
        <v>6</v>
      </c>
      <c r="E23" s="1"/>
      <c r="F23" s="1"/>
      <c r="I23" t="s">
        <v>95</v>
      </c>
      <c r="J23" t="s">
        <v>10</v>
      </c>
      <c r="K23" s="1">
        <v>56.6</v>
      </c>
      <c r="L23" s="1">
        <v>20.1</v>
      </c>
      <c r="M23" s="1">
        <v>16.9</v>
      </c>
      <c r="P23" s="10">
        <f t="shared" si="0"/>
        <v>1.5716804698830538</v>
      </c>
      <c r="Q23" s="10">
        <f t="shared" si="1"/>
        <v>1.2571699780069634</v>
      </c>
      <c r="R23" s="10">
        <f t="shared" si="2"/>
        <v>1.111845525619089</v>
      </c>
      <c r="S23" s="11">
        <f t="shared" si="3"/>
        <v>25.764025522659683</v>
      </c>
      <c r="T23" s="6">
        <f t="shared" si="4"/>
        <v>3736.624441284943</v>
      </c>
      <c r="U23" s="13">
        <v>0.0023977034354977765</v>
      </c>
      <c r="V23" s="6"/>
      <c r="Y23" s="1"/>
      <c r="Z23" s="1"/>
      <c r="AA23" s="34"/>
      <c r="AB23" s="11"/>
      <c r="AC23" s="11"/>
      <c r="AD23" s="1"/>
    </row>
    <row r="24" spans="2:30" ht="12.75">
      <c r="B24" t="s">
        <v>66</v>
      </c>
      <c r="D24" s="2">
        <v>70.6</v>
      </c>
      <c r="E24" s="2">
        <v>30.4</v>
      </c>
      <c r="F24" s="7">
        <v>19.5</v>
      </c>
      <c r="I24" t="s">
        <v>96</v>
      </c>
      <c r="J24" t="s">
        <v>10</v>
      </c>
      <c r="K24" s="1">
        <v>75.9</v>
      </c>
      <c r="L24" s="1">
        <v>28.6</v>
      </c>
      <c r="M24" s="1">
        <v>21.9</v>
      </c>
      <c r="P24" s="10">
        <f t="shared" si="0"/>
        <v>1.3740554221556234</v>
      </c>
      <c r="Q24" s="10">
        <f t="shared" si="1"/>
        <v>1.1745021768694008</v>
      </c>
      <c r="R24" s="10">
        <f t="shared" si="2"/>
        <v>1.0852555626589402</v>
      </c>
      <c r="S24" s="11">
        <f t="shared" si="3"/>
        <v>43.33628503328902</v>
      </c>
      <c r="T24" s="6">
        <f t="shared" si="4"/>
        <v>6285.175494313129</v>
      </c>
      <c r="U24" s="13">
        <v>0.0007648332490395086</v>
      </c>
      <c r="V24" s="6"/>
      <c r="Y24" s="1"/>
      <c r="Z24" s="1"/>
      <c r="AA24" s="34"/>
      <c r="AB24" s="11"/>
      <c r="AC24" s="11"/>
      <c r="AD24" s="1"/>
    </row>
    <row r="25" spans="2:30" ht="12.75">
      <c r="B25" t="s">
        <v>67</v>
      </c>
      <c r="D25" s="2">
        <v>4560</v>
      </c>
      <c r="E25" t="s">
        <v>68</v>
      </c>
      <c r="I25" t="s">
        <v>97</v>
      </c>
      <c r="J25" t="s">
        <v>10</v>
      </c>
      <c r="K25" s="1">
        <v>50</v>
      </c>
      <c r="L25" s="1">
        <v>13.1</v>
      </c>
      <c r="M25" s="1">
        <v>22.7</v>
      </c>
      <c r="P25" s="10">
        <f t="shared" si="0"/>
        <v>2.0012056569839434</v>
      </c>
      <c r="Q25" s="10">
        <f t="shared" si="1"/>
        <v>1.4207095494504638</v>
      </c>
      <c r="R25" s="10">
        <f t="shared" si="2"/>
        <v>1.0821308809914636</v>
      </c>
      <c r="S25" s="11">
        <f t="shared" si="3"/>
        <v>16.25149026638085</v>
      </c>
      <c r="T25" s="6">
        <f t="shared" si="4"/>
        <v>2356.9964128181073</v>
      </c>
      <c r="U25" s="13">
        <v>0.006677122012244954</v>
      </c>
      <c r="V25" s="6"/>
      <c r="Y25" s="1"/>
      <c r="Z25" s="1"/>
      <c r="AA25" s="34"/>
      <c r="AB25" s="11"/>
      <c r="AC25" s="11"/>
      <c r="AD25" s="1"/>
    </row>
    <row r="26" spans="2:30" ht="12.75">
      <c r="B26" t="s">
        <v>69</v>
      </c>
      <c r="D26" s="2">
        <v>0.001</v>
      </c>
      <c r="K26" s="1"/>
      <c r="L26" s="1"/>
      <c r="AB26" s="1"/>
      <c r="AC26" s="1"/>
      <c r="AD26" s="1"/>
    </row>
    <row r="27" spans="2:12" ht="12.75">
      <c r="B27" t="s">
        <v>73</v>
      </c>
      <c r="D27" s="8">
        <v>172800</v>
      </c>
      <c r="E27" t="s">
        <v>74</v>
      </c>
      <c r="K27" s="1"/>
      <c r="L27" s="1"/>
    </row>
    <row r="28" spans="11:30" ht="12.75">
      <c r="K28" s="1"/>
      <c r="L28" s="1"/>
      <c r="M28" s="1"/>
      <c r="U28" s="15"/>
      <c r="AB28" s="28"/>
      <c r="AC28" s="28"/>
      <c r="AD28" s="29"/>
    </row>
    <row r="29" spans="3:29" ht="12.75">
      <c r="C29" t="s">
        <v>70</v>
      </c>
      <c r="D29">
        <f>(D25/M7)^(1/E24)</f>
        <v>1.1293412998012256</v>
      </c>
      <c r="K29" s="1"/>
      <c r="L29" s="1"/>
      <c r="M29" s="9">
        <v>19.5</v>
      </c>
      <c r="N29" s="32" t="s">
        <v>161</v>
      </c>
      <c r="AB29" s="28"/>
      <c r="AC29" s="28"/>
    </row>
    <row r="30" spans="3:29" ht="12.75">
      <c r="C30" t="s">
        <v>71</v>
      </c>
      <c r="D30">
        <f>1/((LN(1/(1-D26)))^(1/E24))</f>
        <v>1.2550963441022358</v>
      </c>
      <c r="I30" t="s">
        <v>26</v>
      </c>
      <c r="R30" s="1"/>
      <c r="AB30" s="28"/>
      <c r="AC30" s="28"/>
    </row>
    <row r="31" spans="3:29" ht="12.75">
      <c r="C31" t="s">
        <v>72</v>
      </c>
      <c r="D31">
        <f>(D27/M8)^(1/F24)</f>
        <v>1.6493390263382692</v>
      </c>
      <c r="R31" s="3"/>
      <c r="AB31" s="28"/>
      <c r="AC31" s="28"/>
    </row>
    <row r="32" spans="10:12" ht="12.75">
      <c r="J32" s="1" t="s">
        <v>27</v>
      </c>
      <c r="K32" s="1" t="s">
        <v>28</v>
      </c>
      <c r="L32" t="s">
        <v>29</v>
      </c>
    </row>
    <row r="33" spans="2:11" ht="15">
      <c r="B33" s="39" t="s">
        <v>77</v>
      </c>
      <c r="C33" s="39"/>
      <c r="D33" s="5">
        <f>D24/(D29*D30*D31)</f>
        <v>30.19899503577578</v>
      </c>
      <c r="E33" s="4" t="s">
        <v>78</v>
      </c>
      <c r="J33" s="1" t="s">
        <v>30</v>
      </c>
      <c r="K33" s="1" t="s">
        <v>30</v>
      </c>
    </row>
    <row r="34" spans="3:30" ht="12.75">
      <c r="C34" t="s">
        <v>79</v>
      </c>
      <c r="D34" s="6">
        <f>D33*1000000/6895</f>
        <v>4379.839744129918</v>
      </c>
      <c r="E34" t="s">
        <v>80</v>
      </c>
      <c r="I34" t="s">
        <v>31</v>
      </c>
      <c r="J34" s="1"/>
      <c r="K34" s="1"/>
      <c r="AB34" s="3"/>
      <c r="AC34" s="3"/>
      <c r="AD34" s="29"/>
    </row>
    <row r="35" spans="9:29" ht="12.75">
      <c r="I35" t="s">
        <v>18</v>
      </c>
      <c r="J35" s="1">
        <v>231</v>
      </c>
      <c r="K35" s="1">
        <v>250</v>
      </c>
      <c r="L35" s="1" t="s">
        <v>34</v>
      </c>
      <c r="AB35" s="3"/>
      <c r="AC35" s="3"/>
    </row>
    <row r="36" spans="9:29" ht="12.75">
      <c r="I36" t="s">
        <v>17</v>
      </c>
      <c r="J36" s="1">
        <v>138</v>
      </c>
      <c r="K36" s="1">
        <v>150</v>
      </c>
      <c r="L36" s="1" t="s">
        <v>35</v>
      </c>
      <c r="AB36" s="3"/>
      <c r="AC36" s="3"/>
    </row>
    <row r="37" spans="9:29" ht="12.75">
      <c r="I37" t="s">
        <v>32</v>
      </c>
      <c r="J37" s="1">
        <v>95</v>
      </c>
      <c r="K37" s="1">
        <v>106</v>
      </c>
      <c r="L37" s="1" t="s">
        <v>36</v>
      </c>
      <c r="AB37" s="3"/>
      <c r="AC37" s="3"/>
    </row>
    <row r="38" spans="9:30" ht="12.75">
      <c r="I38" t="s">
        <v>16</v>
      </c>
      <c r="J38" s="1">
        <v>58</v>
      </c>
      <c r="K38" s="1">
        <v>63</v>
      </c>
      <c r="L38" s="1" t="s">
        <v>37</v>
      </c>
      <c r="AB38" s="3"/>
      <c r="AC38" s="3"/>
      <c r="AD38" s="29"/>
    </row>
    <row r="39" spans="9:29" ht="12.75">
      <c r="I39" t="s">
        <v>15</v>
      </c>
      <c r="J39" s="1">
        <v>36</v>
      </c>
      <c r="K39" s="1">
        <v>40</v>
      </c>
      <c r="L39" s="1"/>
      <c r="AB39" s="3"/>
      <c r="AC39" s="3"/>
    </row>
    <row r="40" spans="9:12" ht="12.75">
      <c r="I40" t="s">
        <v>33</v>
      </c>
      <c r="J40" s="1">
        <v>12.5</v>
      </c>
      <c r="K40" s="1">
        <v>15</v>
      </c>
      <c r="L40" s="1"/>
    </row>
    <row r="41" spans="10:11" ht="12.75">
      <c r="J41" s="1"/>
      <c r="K41" s="1"/>
    </row>
    <row r="42" spans="9:11" ht="12.75">
      <c r="I42" t="s">
        <v>38</v>
      </c>
      <c r="J42" s="1"/>
      <c r="K42" s="1"/>
    </row>
    <row r="43" spans="9:11" ht="12.75">
      <c r="I43" t="s">
        <v>13</v>
      </c>
      <c r="J43" s="1">
        <v>116</v>
      </c>
      <c r="K43" s="1">
        <v>149</v>
      </c>
    </row>
    <row r="44" spans="9:11" ht="12.75">
      <c r="I44" t="s">
        <v>12</v>
      </c>
      <c r="J44" s="1">
        <v>53</v>
      </c>
      <c r="K44" s="1">
        <v>84</v>
      </c>
    </row>
    <row r="45" spans="9:11" ht="12.75">
      <c r="I45" t="s">
        <v>11</v>
      </c>
      <c r="J45" s="1">
        <v>29</v>
      </c>
      <c r="K45" s="1">
        <v>49</v>
      </c>
    </row>
    <row r="46" spans="9:11" ht="12.75">
      <c r="I46" t="s">
        <v>10</v>
      </c>
      <c r="J46" s="1">
        <v>9</v>
      </c>
      <c r="K46" s="1">
        <v>19</v>
      </c>
    </row>
    <row r="48" spans="11:13" ht="12.75">
      <c r="K48" s="1"/>
      <c r="L48" s="1"/>
      <c r="M48" s="1"/>
    </row>
    <row r="49" spans="1:13" ht="12.75">
      <c r="A49" t="s">
        <v>116</v>
      </c>
      <c r="K49" s="1"/>
      <c r="L49" s="1"/>
      <c r="M49" s="1"/>
    </row>
    <row r="50" spans="11:13" ht="12.75">
      <c r="K50" s="1"/>
      <c r="L50" s="1"/>
      <c r="M50" s="1"/>
    </row>
    <row r="51" spans="2:13" ht="12.75">
      <c r="B51" t="s">
        <v>165</v>
      </c>
      <c r="K51" s="1"/>
      <c r="L51" s="1"/>
      <c r="M51" s="1"/>
    </row>
    <row r="52" spans="2:13" ht="12.75">
      <c r="B52" t="s">
        <v>126</v>
      </c>
      <c r="K52" s="1"/>
      <c r="L52" s="1"/>
      <c r="M52" s="1"/>
    </row>
    <row r="53" spans="5:12" ht="12.75">
      <c r="E53" t="s">
        <v>117</v>
      </c>
      <c r="K53" s="1"/>
      <c r="L53" s="1"/>
    </row>
    <row r="54" spans="5:13" ht="12.75">
      <c r="E54" t="s">
        <v>118</v>
      </c>
      <c r="K54" s="1"/>
      <c r="L54" s="1"/>
      <c r="M54" s="1"/>
    </row>
    <row r="55" spans="2:13" ht="12.75">
      <c r="B55" t="s">
        <v>119</v>
      </c>
      <c r="K55" s="1"/>
      <c r="L55" s="1"/>
      <c r="M55" s="1"/>
    </row>
    <row r="56" ht="12.75">
      <c r="C56" t="s">
        <v>120</v>
      </c>
    </row>
    <row r="57" spans="16:20" ht="12.75">
      <c r="P57" t="s">
        <v>162</v>
      </c>
      <c r="Q57">
        <v>254</v>
      </c>
      <c r="R57" s="32" t="s">
        <v>163</v>
      </c>
      <c r="S57">
        <v>6</v>
      </c>
      <c r="T57" t="s">
        <v>164</v>
      </c>
    </row>
    <row r="58" spans="2:7" ht="12.75">
      <c r="B58" t="s">
        <v>121</v>
      </c>
      <c r="F58" t="s">
        <v>125</v>
      </c>
      <c r="G58">
        <v>3.141592654</v>
      </c>
    </row>
    <row r="60" spans="2:12" ht="12.75">
      <c r="B60" s="1"/>
      <c r="C60" s="1" t="s">
        <v>122</v>
      </c>
      <c r="D60" s="1" t="s">
        <v>124</v>
      </c>
      <c r="E60" s="1" t="s">
        <v>123</v>
      </c>
      <c r="F60" s="1" t="s">
        <v>127</v>
      </c>
      <c r="G60" s="1"/>
      <c r="H60" s="1"/>
      <c r="I60" s="14"/>
      <c r="J60" s="14"/>
      <c r="K60" s="14"/>
      <c r="L60" s="14"/>
    </row>
    <row r="61" spans="2:19" ht="12.75">
      <c r="B61" s="1"/>
      <c r="C61" s="1"/>
      <c r="D61" s="1"/>
      <c r="E61" s="1"/>
      <c r="F61" s="1"/>
      <c r="G61" s="1"/>
      <c r="H61" s="1"/>
      <c r="I61" s="1" t="s">
        <v>129</v>
      </c>
      <c r="J61" s="1" t="s">
        <v>128</v>
      </c>
      <c r="K61" s="1" t="s">
        <v>123</v>
      </c>
      <c r="L61" s="1" t="s">
        <v>127</v>
      </c>
      <c r="M61" s="1" t="s">
        <v>132</v>
      </c>
      <c r="O61" s="1" t="s">
        <v>129</v>
      </c>
      <c r="P61" s="1" t="s">
        <v>128</v>
      </c>
      <c r="Q61" s="1" t="s">
        <v>123</v>
      </c>
      <c r="R61" s="1" t="s">
        <v>127</v>
      </c>
      <c r="S61" s="1" t="s">
        <v>132</v>
      </c>
    </row>
    <row r="62" spans="2:19" ht="12.75">
      <c r="B62" s="1"/>
      <c r="C62" s="1">
        <v>0.001</v>
      </c>
      <c r="D62" s="1">
        <v>3000</v>
      </c>
      <c r="E62" s="3">
        <f>1.12*D62*(pi*C62)^0.5</f>
        <v>188.32770488326568</v>
      </c>
      <c r="F62" s="12">
        <f>EXP((E62-245)/6)</f>
        <v>7.905375297622074E-05</v>
      </c>
      <c r="G62" s="1"/>
      <c r="H62" s="1"/>
      <c r="I62" s="1" t="s">
        <v>130</v>
      </c>
      <c r="J62" s="1"/>
      <c r="K62" s="1"/>
      <c r="L62" s="1" t="s">
        <v>131</v>
      </c>
      <c r="M62" s="1"/>
      <c r="O62" s="1" t="s">
        <v>130</v>
      </c>
      <c r="P62" s="1"/>
      <c r="Q62" s="1"/>
      <c r="R62" s="1" t="s">
        <v>131</v>
      </c>
      <c r="S62" s="1"/>
    </row>
    <row r="63" spans="2:19" ht="12.75">
      <c r="B63" s="1"/>
      <c r="C63" s="1"/>
      <c r="D63" s="1"/>
      <c r="E63" s="1"/>
      <c r="F63" s="1"/>
      <c r="G63" s="1"/>
      <c r="H63" s="1"/>
      <c r="I63" s="1">
        <v>0</v>
      </c>
      <c r="J63" s="1">
        <f>C62</f>
        <v>0.001</v>
      </c>
      <c r="K63" s="3">
        <f aca="true" t="shared" si="5" ref="K63:K89">1.12*$D$62*(pi*J63)^0.5</f>
        <v>188.32770488326568</v>
      </c>
      <c r="L63" s="12">
        <f aca="true" t="shared" si="6" ref="L63:L89">EXP((K63-254)/6)</f>
        <v>1.7639276561918547E-05</v>
      </c>
      <c r="M63" s="12">
        <f aca="true" t="shared" si="7" ref="M63:M89">0.1*J63/L63</f>
        <v>5.669166739858828</v>
      </c>
      <c r="O63" s="1">
        <v>0</v>
      </c>
      <c r="P63" s="1">
        <f>C62</f>
        <v>0.001</v>
      </c>
      <c r="Q63" s="3">
        <f aca="true" t="shared" si="8" ref="Q63:Q104">1.12*$D$62*(pi*P63)^0.5</f>
        <v>188.32770488326568</v>
      </c>
      <c r="R63" s="12">
        <f aca="true" t="shared" si="9" ref="R63:R104">EXP((Q63-$Q$57)/$S$57)</f>
        <v>1.7639276561918547E-05</v>
      </c>
      <c r="S63" s="12">
        <f aca="true" t="shared" si="10" ref="S63:S104">0.1*P63/R63</f>
        <v>5.669166739858828</v>
      </c>
    </row>
    <row r="64" spans="2:19" ht="12.75">
      <c r="B64" s="1"/>
      <c r="C64" s="1"/>
      <c r="D64" s="1"/>
      <c r="E64" s="1"/>
      <c r="F64" s="1"/>
      <c r="G64" s="1"/>
      <c r="H64" s="1"/>
      <c r="I64" s="12">
        <f aca="true" t="shared" si="11" ref="I64:I89">I63+M63</f>
        <v>5.669166739858828</v>
      </c>
      <c r="J64" s="12">
        <f aca="true" t="shared" si="12" ref="J64:J89">J63+M63*L63</f>
        <v>0.0011</v>
      </c>
      <c r="K64" s="3">
        <f t="shared" si="5"/>
        <v>197.5197632371461</v>
      </c>
      <c r="L64" s="12">
        <f t="shared" si="6"/>
        <v>8.162517766179685E-05</v>
      </c>
      <c r="M64" s="12">
        <f t="shared" si="7"/>
        <v>1.3476234067847364</v>
      </c>
      <c r="O64" s="12">
        <f aca="true" t="shared" si="13" ref="O64:O104">O63+S63</f>
        <v>5.669166739858828</v>
      </c>
      <c r="P64" s="12">
        <f aca="true" t="shared" si="14" ref="P64:P104">P63+S63*R63</f>
        <v>0.0011</v>
      </c>
      <c r="Q64" s="3">
        <f t="shared" si="8"/>
        <v>197.5197632371461</v>
      </c>
      <c r="R64" s="12">
        <f t="shared" si="9"/>
        <v>8.162517766179685E-05</v>
      </c>
      <c r="S64" s="12">
        <f t="shared" si="10"/>
        <v>1.3476234067847364</v>
      </c>
    </row>
    <row r="65" spans="2:19" ht="12.75">
      <c r="B65" s="1"/>
      <c r="C65" s="1"/>
      <c r="D65" s="1"/>
      <c r="E65" s="1"/>
      <c r="F65" s="1"/>
      <c r="G65" s="1"/>
      <c r="H65" s="1"/>
      <c r="I65" s="12">
        <f t="shared" si="11"/>
        <v>7.016790146643564</v>
      </c>
      <c r="J65" s="12">
        <f t="shared" si="12"/>
        <v>0.0012100000000000001</v>
      </c>
      <c r="K65" s="3">
        <f t="shared" si="5"/>
        <v>207.16047537159227</v>
      </c>
      <c r="L65" s="12">
        <f t="shared" si="6"/>
        <v>0.0004070447457821723</v>
      </c>
      <c r="M65" s="12">
        <f t="shared" si="7"/>
        <v>0.29726461587776515</v>
      </c>
      <c r="O65" s="12">
        <f t="shared" si="13"/>
        <v>7.016790146643564</v>
      </c>
      <c r="P65" s="12">
        <f t="shared" si="14"/>
        <v>0.0012100000000000001</v>
      </c>
      <c r="Q65" s="3">
        <f t="shared" si="8"/>
        <v>207.16047537159227</v>
      </c>
      <c r="R65" s="12">
        <f t="shared" si="9"/>
        <v>0.0004070447457821723</v>
      </c>
      <c r="S65" s="12">
        <f t="shared" si="10"/>
        <v>0.29726461587776515</v>
      </c>
    </row>
    <row r="66" spans="2:19" ht="12.75">
      <c r="B66" s="1"/>
      <c r="C66" s="1"/>
      <c r="D66" s="1"/>
      <c r="E66" s="1"/>
      <c r="F66" s="1"/>
      <c r="G66" s="1"/>
      <c r="H66" s="1"/>
      <c r="I66" s="12">
        <f t="shared" si="11"/>
        <v>7.314054762521329</v>
      </c>
      <c r="J66" s="12">
        <f t="shared" si="12"/>
        <v>0.0013310000000000002</v>
      </c>
      <c r="K66" s="3">
        <f t="shared" si="5"/>
        <v>217.27173956086074</v>
      </c>
      <c r="L66" s="12">
        <f t="shared" si="6"/>
        <v>0.002195431343630144</v>
      </c>
      <c r="M66" s="12">
        <f t="shared" si="7"/>
        <v>0.060625899500878606</v>
      </c>
      <c r="O66" s="12">
        <f t="shared" si="13"/>
        <v>7.314054762521329</v>
      </c>
      <c r="P66" s="12">
        <f t="shared" si="14"/>
        <v>0.0013310000000000002</v>
      </c>
      <c r="Q66" s="3">
        <f t="shared" si="8"/>
        <v>217.27173956086074</v>
      </c>
      <c r="R66" s="12">
        <f t="shared" si="9"/>
        <v>0.002195431343630144</v>
      </c>
      <c r="S66" s="12">
        <f t="shared" si="10"/>
        <v>0.060625899500878606</v>
      </c>
    </row>
    <row r="67" spans="2:19" ht="12.75">
      <c r="B67" s="1"/>
      <c r="C67" s="1"/>
      <c r="D67" s="1"/>
      <c r="E67" s="1"/>
      <c r="F67" s="1"/>
      <c r="G67" s="1"/>
      <c r="H67" s="1"/>
      <c r="I67" s="12">
        <f t="shared" si="11"/>
        <v>7.374680662022208</v>
      </c>
      <c r="J67" s="12">
        <f t="shared" si="12"/>
        <v>0.0014641</v>
      </c>
      <c r="K67" s="3">
        <f t="shared" si="5"/>
        <v>227.8765229087515</v>
      </c>
      <c r="L67" s="12">
        <f t="shared" si="6"/>
        <v>0.012856408853083959</v>
      </c>
      <c r="M67" s="12">
        <f t="shared" si="7"/>
        <v>0.01138809458170581</v>
      </c>
      <c r="O67" s="12">
        <f t="shared" si="13"/>
        <v>7.374680662022208</v>
      </c>
      <c r="P67" s="12">
        <f t="shared" si="14"/>
        <v>0.0014641</v>
      </c>
      <c r="Q67" s="3">
        <f t="shared" si="8"/>
        <v>227.8765229087515</v>
      </c>
      <c r="R67" s="12">
        <f t="shared" si="9"/>
        <v>0.012856408853083959</v>
      </c>
      <c r="S67" s="12">
        <f t="shared" si="10"/>
        <v>0.01138809458170581</v>
      </c>
    </row>
    <row r="68" spans="2:19" ht="12.75">
      <c r="B68" s="1"/>
      <c r="C68" s="1"/>
      <c r="D68" s="1"/>
      <c r="E68" s="1"/>
      <c r="F68" s="1"/>
      <c r="G68" s="1"/>
      <c r="H68" s="1"/>
      <c r="I68" s="12">
        <f t="shared" si="11"/>
        <v>7.3860687566039145</v>
      </c>
      <c r="J68" s="12">
        <f t="shared" si="12"/>
        <v>0.0016105100000000001</v>
      </c>
      <c r="K68" s="3">
        <f t="shared" si="5"/>
        <v>238.9989135169468</v>
      </c>
      <c r="L68" s="12">
        <f t="shared" si="6"/>
        <v>0.08207013597628617</v>
      </c>
      <c r="M68" s="12">
        <f t="shared" si="7"/>
        <v>0.0019623581475061167</v>
      </c>
      <c r="O68" s="12">
        <f t="shared" si="13"/>
        <v>7.3860687566039145</v>
      </c>
      <c r="P68" s="12">
        <f t="shared" si="14"/>
        <v>0.0016105100000000001</v>
      </c>
      <c r="Q68" s="3">
        <f t="shared" si="8"/>
        <v>238.9989135169468</v>
      </c>
      <c r="R68" s="12">
        <f t="shared" si="9"/>
        <v>0.08207013597628617</v>
      </c>
      <c r="S68" s="12">
        <f t="shared" si="10"/>
        <v>0.0019623581475061167</v>
      </c>
    </row>
    <row r="69" spans="9:19" ht="12.75">
      <c r="I69" s="12">
        <f t="shared" si="11"/>
        <v>7.388031114751421</v>
      </c>
      <c r="J69" s="12">
        <f t="shared" si="12"/>
        <v>0.001771561</v>
      </c>
      <c r="K69" s="3">
        <f t="shared" si="5"/>
        <v>250.6641751996266</v>
      </c>
      <c r="L69" s="12">
        <f t="shared" si="6"/>
        <v>0.5735152222400166</v>
      </c>
      <c r="M69" s="12">
        <f t="shared" si="7"/>
        <v>0.0003088952012608656</v>
      </c>
      <c r="O69" s="12">
        <f t="shared" si="13"/>
        <v>7.388031114751421</v>
      </c>
      <c r="P69" s="12">
        <f t="shared" si="14"/>
        <v>0.001771561</v>
      </c>
      <c r="Q69" s="3">
        <f t="shared" si="8"/>
        <v>250.6641751996266</v>
      </c>
      <c r="R69" s="12">
        <f t="shared" si="9"/>
        <v>0.5735152222400166</v>
      </c>
      <c r="S69" s="12">
        <f t="shared" si="10"/>
        <v>0.0003088952012608656</v>
      </c>
    </row>
    <row r="70" spans="9:19" ht="12.75">
      <c r="I70" s="12">
        <f t="shared" si="11"/>
        <v>7.388340009952682</v>
      </c>
      <c r="J70" s="12">
        <f t="shared" si="12"/>
        <v>0.0019487171</v>
      </c>
      <c r="K70" s="3">
        <f t="shared" si="5"/>
        <v>262.89880486864143</v>
      </c>
      <c r="L70" s="12">
        <f t="shared" si="6"/>
        <v>4.406735406876083</v>
      </c>
      <c r="M70" s="12">
        <f t="shared" si="7"/>
        <v>4.422133212171769E-05</v>
      </c>
      <c r="O70" s="12">
        <f t="shared" si="13"/>
        <v>7.388340009952682</v>
      </c>
      <c r="P70" s="12">
        <f t="shared" si="14"/>
        <v>0.0019487171</v>
      </c>
      <c r="Q70" s="3">
        <f t="shared" si="8"/>
        <v>262.89880486864143</v>
      </c>
      <c r="R70" s="12">
        <f t="shared" si="9"/>
        <v>4.406735406876083</v>
      </c>
      <c r="S70" s="12">
        <f t="shared" si="10"/>
        <v>4.422133212171769E-05</v>
      </c>
    </row>
    <row r="71" spans="9:19" ht="12.75">
      <c r="I71" s="12">
        <f t="shared" si="11"/>
        <v>7.388384231284803</v>
      </c>
      <c r="J71" s="12">
        <f t="shared" si="12"/>
        <v>0.00214358881</v>
      </c>
      <c r="K71" s="3">
        <f t="shared" si="5"/>
        <v>275.7305927195893</v>
      </c>
      <c r="L71" s="12">
        <f t="shared" si="6"/>
        <v>37.40354377466214</v>
      </c>
      <c r="M71" s="12">
        <f t="shared" si="7"/>
        <v>5.730977853098794E-06</v>
      </c>
      <c r="O71" s="12">
        <f t="shared" si="13"/>
        <v>7.388384231284803</v>
      </c>
      <c r="P71" s="12">
        <f t="shared" si="14"/>
        <v>0.00214358881</v>
      </c>
      <c r="Q71" s="3">
        <f t="shared" si="8"/>
        <v>275.7305927195893</v>
      </c>
      <c r="R71" s="12">
        <f t="shared" si="9"/>
        <v>37.40354377466214</v>
      </c>
      <c r="S71" s="12">
        <f t="shared" si="10"/>
        <v>5.730977853098794E-06</v>
      </c>
    </row>
    <row r="72" spans="9:19" ht="12.75">
      <c r="I72" s="12">
        <f t="shared" si="11"/>
        <v>7.388389962262656</v>
      </c>
      <c r="J72" s="12">
        <f t="shared" si="12"/>
        <v>0.002357947691</v>
      </c>
      <c r="K72" s="3">
        <f t="shared" si="5"/>
        <v>289.1886853555056</v>
      </c>
      <c r="L72" s="12">
        <f t="shared" si="6"/>
        <v>352.40493311376525</v>
      </c>
      <c r="M72" s="12">
        <f t="shared" si="7"/>
        <v>6.691017830442217E-07</v>
      </c>
      <c r="O72" s="12">
        <f t="shared" si="13"/>
        <v>7.388389962262656</v>
      </c>
      <c r="P72" s="12">
        <f t="shared" si="14"/>
        <v>0.002357947691</v>
      </c>
      <c r="Q72" s="3">
        <f t="shared" si="8"/>
        <v>289.1886853555056</v>
      </c>
      <c r="R72" s="12">
        <f t="shared" si="9"/>
        <v>352.40493311376525</v>
      </c>
      <c r="S72" s="12">
        <f t="shared" si="10"/>
        <v>6.691017830442217E-07</v>
      </c>
    </row>
    <row r="73" spans="9:19" ht="12.75">
      <c r="I73" s="12">
        <f t="shared" si="11"/>
        <v>7.388390631364439</v>
      </c>
      <c r="J73" s="12">
        <f t="shared" si="12"/>
        <v>0.0025937424600999998</v>
      </c>
      <c r="K73" s="3">
        <f t="shared" si="5"/>
        <v>303.3036519915482</v>
      </c>
      <c r="L73" s="12">
        <f t="shared" si="6"/>
        <v>3704.3953718314124</v>
      </c>
      <c r="M73" s="12">
        <f t="shared" si="7"/>
        <v>7.001797053908105E-08</v>
      </c>
      <c r="O73" s="12">
        <f t="shared" si="13"/>
        <v>7.388390631364439</v>
      </c>
      <c r="P73" s="12">
        <f t="shared" si="14"/>
        <v>0.0025937424600999998</v>
      </c>
      <c r="Q73" s="3">
        <f t="shared" si="8"/>
        <v>303.3036519915482</v>
      </c>
      <c r="R73" s="12">
        <f t="shared" si="9"/>
        <v>3704.3953718314124</v>
      </c>
      <c r="S73" s="12">
        <f t="shared" si="10"/>
        <v>7.001797053908105E-08</v>
      </c>
    </row>
    <row r="74" spans="9:19" ht="12.75">
      <c r="I74" s="12">
        <f t="shared" si="11"/>
        <v>7.38839070138241</v>
      </c>
      <c r="J74" s="12">
        <f t="shared" si="12"/>
        <v>0.0028531167061099996</v>
      </c>
      <c r="K74" s="3">
        <f t="shared" si="5"/>
        <v>318.10755389105617</v>
      </c>
      <c r="L74" s="12">
        <f t="shared" si="6"/>
        <v>43677.67212582915</v>
      </c>
      <c r="M74" s="12">
        <f t="shared" si="7"/>
        <v>6.532208717283689E-09</v>
      </c>
      <c r="O74" s="12">
        <f t="shared" si="13"/>
        <v>7.38839070138241</v>
      </c>
      <c r="P74" s="12">
        <f t="shared" si="14"/>
        <v>0.0028531167061099996</v>
      </c>
      <c r="Q74" s="3">
        <f t="shared" si="8"/>
        <v>318.10755389105617</v>
      </c>
      <c r="R74" s="12">
        <f t="shared" si="9"/>
        <v>43677.67212582915</v>
      </c>
      <c r="S74" s="12">
        <f t="shared" si="10"/>
        <v>6.532208717283689E-09</v>
      </c>
    </row>
    <row r="75" spans="9:19" ht="12.75">
      <c r="I75" s="12">
        <f t="shared" si="11"/>
        <v>7.388390707914619</v>
      </c>
      <c r="J75" s="12">
        <f t="shared" si="12"/>
        <v>0.0031384283767209994</v>
      </c>
      <c r="K75" s="3">
        <f t="shared" si="5"/>
        <v>333.634017190703</v>
      </c>
      <c r="L75" s="12">
        <f t="shared" si="6"/>
        <v>580901.332859079</v>
      </c>
      <c r="M75" s="12">
        <f t="shared" si="7"/>
        <v>5.402687511964018E-10</v>
      </c>
      <c r="O75" s="12">
        <f t="shared" si="13"/>
        <v>7.388390707914619</v>
      </c>
      <c r="P75" s="12">
        <f t="shared" si="14"/>
        <v>0.0031384283767209994</v>
      </c>
      <c r="Q75" s="3">
        <f t="shared" si="8"/>
        <v>333.634017190703</v>
      </c>
      <c r="R75" s="12">
        <f t="shared" si="9"/>
        <v>580901.332859079</v>
      </c>
      <c r="S75" s="12">
        <f t="shared" si="10"/>
        <v>5.402687511964018E-10</v>
      </c>
    </row>
    <row r="76" spans="9:19" ht="12.75">
      <c r="I76" s="12">
        <f t="shared" si="11"/>
        <v>7.388390708454888</v>
      </c>
      <c r="J76" s="12">
        <f t="shared" si="12"/>
        <v>0.0034522712143930994</v>
      </c>
      <c r="K76" s="3">
        <f t="shared" si="5"/>
        <v>349.91830928016174</v>
      </c>
      <c r="L76" s="12">
        <f t="shared" si="6"/>
        <v>8765944.950271972</v>
      </c>
      <c r="M76" s="12">
        <f t="shared" si="7"/>
        <v>3.938276174419724E-11</v>
      </c>
      <c r="O76" s="12">
        <f t="shared" si="13"/>
        <v>7.388390708454888</v>
      </c>
      <c r="P76" s="12">
        <f t="shared" si="14"/>
        <v>0.0034522712143930994</v>
      </c>
      <c r="Q76" s="3">
        <f t="shared" si="8"/>
        <v>349.91830928016174</v>
      </c>
      <c r="R76" s="12">
        <f t="shared" si="9"/>
        <v>8765944.950271972</v>
      </c>
      <c r="S76" s="12">
        <f t="shared" si="10"/>
        <v>3.938276174419724E-11</v>
      </c>
    </row>
    <row r="77" spans="9:19" ht="12.75">
      <c r="I77" s="12">
        <f t="shared" si="11"/>
        <v>7.388390708494271</v>
      </c>
      <c r="J77" s="12">
        <f t="shared" si="12"/>
        <v>0.0037974983358324095</v>
      </c>
      <c r="K77" s="3">
        <f t="shared" si="5"/>
        <v>366.9974189097733</v>
      </c>
      <c r="L77" s="12">
        <f t="shared" si="6"/>
        <v>151017027.2442531</v>
      </c>
      <c r="M77" s="12">
        <f t="shared" si="7"/>
        <v>2.5146160039889955E-12</v>
      </c>
      <c r="O77" s="12">
        <f t="shared" si="13"/>
        <v>7.388390708494271</v>
      </c>
      <c r="P77" s="12">
        <f t="shared" si="14"/>
        <v>0.0037974983358324095</v>
      </c>
      <c r="Q77" s="3">
        <f t="shared" si="8"/>
        <v>366.9974189097733</v>
      </c>
      <c r="R77" s="12">
        <f t="shared" si="9"/>
        <v>151017027.2442531</v>
      </c>
      <c r="S77" s="12">
        <f t="shared" si="10"/>
        <v>2.5146160039889955E-12</v>
      </c>
    </row>
    <row r="78" spans="9:19" ht="12.75">
      <c r="I78" s="12">
        <f t="shared" si="11"/>
        <v>7.388390708496785</v>
      </c>
      <c r="J78" s="12">
        <f t="shared" si="12"/>
        <v>0.0041772481694156505</v>
      </c>
      <c r="K78" s="3">
        <f t="shared" si="5"/>
        <v>384.91014020817795</v>
      </c>
      <c r="L78" s="12">
        <f t="shared" si="6"/>
        <v>2989454306.07417</v>
      </c>
      <c r="M78" s="12">
        <f t="shared" si="7"/>
        <v>1.397327987562159E-13</v>
      </c>
      <c r="O78" s="12">
        <f t="shared" si="13"/>
        <v>7.388390708496785</v>
      </c>
      <c r="P78" s="12">
        <f t="shared" si="14"/>
        <v>0.0041772481694156505</v>
      </c>
      <c r="Q78" s="3">
        <f t="shared" si="8"/>
        <v>384.91014020817795</v>
      </c>
      <c r="R78" s="12">
        <f t="shared" si="9"/>
        <v>2989454306.07417</v>
      </c>
      <c r="S78" s="12">
        <f t="shared" si="10"/>
        <v>1.397327987562159E-13</v>
      </c>
    </row>
    <row r="79" spans="9:19" ht="12.75">
      <c r="I79" s="12">
        <f t="shared" si="11"/>
        <v>7.3883907084969245</v>
      </c>
      <c r="J79" s="12">
        <f t="shared" si="12"/>
        <v>0.004594972986357216</v>
      </c>
      <c r="K79" s="3">
        <f t="shared" si="5"/>
        <v>403.6971608007506</v>
      </c>
      <c r="L79" s="12">
        <f t="shared" si="6"/>
        <v>68460775661.44176</v>
      </c>
      <c r="M79" s="12">
        <f t="shared" si="7"/>
        <v>6.711833078083544E-15</v>
      </c>
      <c r="O79" s="12">
        <f t="shared" si="13"/>
        <v>7.3883907084969245</v>
      </c>
      <c r="P79" s="12">
        <f t="shared" si="14"/>
        <v>0.004594972986357216</v>
      </c>
      <c r="Q79" s="3">
        <f t="shared" si="8"/>
        <v>403.6971608007506</v>
      </c>
      <c r="R79" s="12">
        <f t="shared" si="9"/>
        <v>68460775661.44176</v>
      </c>
      <c r="S79" s="12">
        <f t="shared" si="10"/>
        <v>6.711833078083544E-15</v>
      </c>
    </row>
    <row r="80" spans="9:19" ht="12.75">
      <c r="I80" s="12">
        <f t="shared" si="11"/>
        <v>7.388390708496932</v>
      </c>
      <c r="J80" s="12">
        <f t="shared" si="12"/>
        <v>0.005054470284992937</v>
      </c>
      <c r="K80" s="3">
        <f t="shared" si="5"/>
        <v>423.4011542289958</v>
      </c>
      <c r="L80" s="12">
        <f t="shared" si="6"/>
        <v>1826688178738.4106</v>
      </c>
      <c r="M80" s="12">
        <f t="shared" si="7"/>
        <v>2.767013190222631E-16</v>
      </c>
      <c r="O80" s="12">
        <f t="shared" si="13"/>
        <v>7.388390708496932</v>
      </c>
      <c r="P80" s="12">
        <f t="shared" si="14"/>
        <v>0.005054470284992937</v>
      </c>
      <c r="Q80" s="3">
        <f t="shared" si="8"/>
        <v>423.4011542289958</v>
      </c>
      <c r="R80" s="12">
        <f t="shared" si="9"/>
        <v>1826688178738.4106</v>
      </c>
      <c r="S80" s="12">
        <f t="shared" si="10"/>
        <v>2.767013190222631E-16</v>
      </c>
    </row>
    <row r="81" spans="9:19" ht="12.75">
      <c r="I81" s="12">
        <f t="shared" si="11"/>
        <v>7.388390708496932</v>
      </c>
      <c r="J81" s="12">
        <f t="shared" si="12"/>
        <v>0.0055599173134922315</v>
      </c>
      <c r="K81" s="3">
        <f t="shared" si="5"/>
        <v>444.06687688082576</v>
      </c>
      <c r="L81" s="12">
        <f t="shared" si="6"/>
        <v>57213603729174.55</v>
      </c>
      <c r="M81" s="12">
        <f t="shared" si="7"/>
        <v>9.717823998310913E-18</v>
      </c>
      <c r="O81" s="12">
        <f t="shared" si="13"/>
        <v>7.388390708496932</v>
      </c>
      <c r="P81" s="12">
        <f t="shared" si="14"/>
        <v>0.0055599173134922315</v>
      </c>
      <c r="Q81" s="3">
        <f t="shared" si="8"/>
        <v>444.06687688082576</v>
      </c>
      <c r="R81" s="12">
        <f t="shared" si="9"/>
        <v>57213603729174.55</v>
      </c>
      <c r="S81" s="12">
        <f t="shared" si="10"/>
        <v>9.717823998310913E-18</v>
      </c>
    </row>
    <row r="82" spans="9:19" ht="12.75">
      <c r="I82" s="12">
        <f t="shared" si="11"/>
        <v>7.388390708496932</v>
      </c>
      <c r="J82" s="12">
        <f t="shared" si="12"/>
        <v>0.0061159090448414544</v>
      </c>
      <c r="K82" s="3">
        <f t="shared" si="5"/>
        <v>465.7412696518953</v>
      </c>
      <c r="L82" s="12">
        <f t="shared" si="6"/>
        <v>2120040545503503.2</v>
      </c>
      <c r="M82" s="12">
        <f t="shared" si="7"/>
        <v>2.884807584370489E-19</v>
      </c>
      <c r="O82" s="12">
        <f t="shared" si="13"/>
        <v>7.388390708496932</v>
      </c>
      <c r="P82" s="12">
        <f t="shared" si="14"/>
        <v>0.0061159090448414544</v>
      </c>
      <c r="Q82" s="3">
        <f t="shared" si="8"/>
        <v>465.7412696518953</v>
      </c>
      <c r="R82" s="12">
        <f t="shared" si="9"/>
        <v>2120040545503503.2</v>
      </c>
      <c r="S82" s="12">
        <f t="shared" si="10"/>
        <v>2.884807584370489E-19</v>
      </c>
    </row>
    <row r="83" spans="9:19" ht="12.75">
      <c r="I83" s="12">
        <f t="shared" si="11"/>
        <v>7.388390708496932</v>
      </c>
      <c r="J83" s="12">
        <f t="shared" si="12"/>
        <v>0.0067274999493256</v>
      </c>
      <c r="K83" s="3">
        <f t="shared" si="5"/>
        <v>488.47356456890833</v>
      </c>
      <c r="L83" s="12">
        <f t="shared" si="6"/>
        <v>93704951613286160</v>
      </c>
      <c r="M83" s="12">
        <f t="shared" si="7"/>
        <v>7.179449787338376E-21</v>
      </c>
      <c r="O83" s="12">
        <f t="shared" si="13"/>
        <v>7.388390708496932</v>
      </c>
      <c r="P83" s="12">
        <f t="shared" si="14"/>
        <v>0.0067274999493256</v>
      </c>
      <c r="Q83" s="3">
        <f t="shared" si="8"/>
        <v>488.47356456890833</v>
      </c>
      <c r="R83" s="12">
        <f t="shared" si="9"/>
        <v>93704951613286160</v>
      </c>
      <c r="S83" s="12">
        <f t="shared" si="10"/>
        <v>7.179449787338376E-21</v>
      </c>
    </row>
    <row r="84" spans="9:19" ht="12.75">
      <c r="I84" s="12">
        <f t="shared" si="11"/>
        <v>7.388390708496932</v>
      </c>
      <c r="J84" s="12">
        <f t="shared" si="12"/>
        <v>0.007400249944258161</v>
      </c>
      <c r="K84" s="3">
        <f t="shared" si="5"/>
        <v>512.3153966170848</v>
      </c>
      <c r="L84" s="12">
        <f t="shared" si="6"/>
        <v>4.983011509026058E+18</v>
      </c>
      <c r="M84" s="12">
        <f t="shared" si="7"/>
        <v>1.485095896498252E-22</v>
      </c>
      <c r="O84" s="12">
        <f t="shared" si="13"/>
        <v>7.388390708496932</v>
      </c>
      <c r="P84" s="12">
        <f t="shared" si="14"/>
        <v>0.007400249944258161</v>
      </c>
      <c r="Q84" s="3">
        <f t="shared" si="8"/>
        <v>512.3153966170848</v>
      </c>
      <c r="R84" s="12">
        <f t="shared" si="9"/>
        <v>4.983011509026058E+18</v>
      </c>
      <c r="S84" s="12">
        <f t="shared" si="10"/>
        <v>1.485095896498252E-22</v>
      </c>
    </row>
    <row r="85" spans="9:19" ht="12.75">
      <c r="I85" s="12">
        <f t="shared" si="11"/>
        <v>7.388390708496932</v>
      </c>
      <c r="J85" s="12">
        <f t="shared" si="12"/>
        <v>0.008140274938683977</v>
      </c>
      <c r="K85" s="3">
        <f t="shared" si="5"/>
        <v>537.3209210257992</v>
      </c>
      <c r="L85" s="12">
        <f t="shared" si="6"/>
        <v>3.217007708462591E+20</v>
      </c>
      <c r="M85" s="12">
        <f t="shared" si="7"/>
        <v>2.530387141215219E-24</v>
      </c>
      <c r="O85" s="12">
        <f t="shared" si="13"/>
        <v>7.388390708496932</v>
      </c>
      <c r="P85" s="12">
        <f t="shared" si="14"/>
        <v>0.008140274938683977</v>
      </c>
      <c r="Q85" s="3">
        <f t="shared" si="8"/>
        <v>537.3209210257992</v>
      </c>
      <c r="R85" s="12">
        <f t="shared" si="9"/>
        <v>3.217007708462591E+20</v>
      </c>
      <c r="S85" s="12">
        <f t="shared" si="10"/>
        <v>2.530387141215219E-24</v>
      </c>
    </row>
    <row r="86" spans="9:19" ht="12.75">
      <c r="I86" s="12">
        <f t="shared" si="11"/>
        <v>7.388390708496932</v>
      </c>
      <c r="J86" s="12">
        <f t="shared" si="12"/>
        <v>0.008954302432552375</v>
      </c>
      <c r="K86" s="3">
        <f t="shared" si="5"/>
        <v>563.5469362787934</v>
      </c>
      <c r="L86" s="12">
        <f t="shared" si="6"/>
        <v>2.5453903071880694E+22</v>
      </c>
      <c r="M86" s="12">
        <f t="shared" si="7"/>
        <v>3.5178504480298456E-26</v>
      </c>
      <c r="O86" s="12">
        <f t="shared" si="13"/>
        <v>7.388390708496932</v>
      </c>
      <c r="P86" s="12">
        <f t="shared" si="14"/>
        <v>0.008954302432552375</v>
      </c>
      <c r="Q86" s="3">
        <f t="shared" si="8"/>
        <v>563.5469362787934</v>
      </c>
      <c r="R86" s="12">
        <f t="shared" si="9"/>
        <v>2.5453903071880694E+22</v>
      </c>
      <c r="S86" s="12">
        <f t="shared" si="10"/>
        <v>3.5178504480298456E-26</v>
      </c>
    </row>
    <row r="87" spans="9:19" ht="12.75">
      <c r="I87" s="12">
        <f t="shared" si="11"/>
        <v>7.388390708496932</v>
      </c>
      <c r="J87" s="12">
        <f t="shared" si="12"/>
        <v>0.009849732675807613</v>
      </c>
      <c r="K87" s="3">
        <f t="shared" si="5"/>
        <v>591.0530131283791</v>
      </c>
      <c r="L87" s="12">
        <f t="shared" si="6"/>
        <v>2.4929330679985255E+24</v>
      </c>
      <c r="M87" s="12">
        <f t="shared" si="7"/>
        <v>3.951061824421769E-28</v>
      </c>
      <c r="O87" s="12">
        <f t="shared" si="13"/>
        <v>7.388390708496932</v>
      </c>
      <c r="P87" s="12">
        <f t="shared" si="14"/>
        <v>0.009849732675807613</v>
      </c>
      <c r="Q87" s="3">
        <f t="shared" si="8"/>
        <v>591.0530131283791</v>
      </c>
      <c r="R87" s="12">
        <f t="shared" si="9"/>
        <v>2.4929330679985255E+24</v>
      </c>
      <c r="S87" s="12">
        <f t="shared" si="10"/>
        <v>3.951061824421769E-28</v>
      </c>
    </row>
    <row r="88" spans="9:19" ht="12.75">
      <c r="I88" s="12">
        <f t="shared" si="11"/>
        <v>7.388390708496932</v>
      </c>
      <c r="J88" s="12">
        <f t="shared" si="12"/>
        <v>0.010834705943388374</v>
      </c>
      <c r="K88" s="3">
        <f t="shared" si="5"/>
        <v>619.9016299066727</v>
      </c>
      <c r="L88" s="12">
        <f t="shared" si="6"/>
        <v>3.0538178642722496E+26</v>
      </c>
      <c r="M88" s="12">
        <f t="shared" si="7"/>
        <v>3.5479214625559785E-30</v>
      </c>
      <c r="O88" s="12">
        <f t="shared" si="13"/>
        <v>7.388390708496932</v>
      </c>
      <c r="P88" s="12">
        <f t="shared" si="14"/>
        <v>0.010834705943388374</v>
      </c>
      <c r="Q88" s="3">
        <f t="shared" si="8"/>
        <v>619.9016299066727</v>
      </c>
      <c r="R88" s="12">
        <f t="shared" si="9"/>
        <v>3.0538178642722496E+26</v>
      </c>
      <c r="S88" s="12">
        <f t="shared" si="10"/>
        <v>3.5479214625559785E-30</v>
      </c>
    </row>
    <row r="89" spans="9:19" ht="12.75">
      <c r="I89" s="12">
        <f t="shared" si="11"/>
        <v>7.388390708496932</v>
      </c>
      <c r="J89" s="12">
        <f t="shared" si="12"/>
        <v>0.011918176537727213</v>
      </c>
      <c r="K89" s="3">
        <f t="shared" si="5"/>
        <v>650.1583144412169</v>
      </c>
      <c r="L89" s="12">
        <f t="shared" si="6"/>
        <v>4.730368641549432E+28</v>
      </c>
      <c r="M89" s="12">
        <f t="shared" si="7"/>
        <v>2.5195026943657854E-32</v>
      </c>
      <c r="O89" s="12">
        <f t="shared" si="13"/>
        <v>7.388390708496932</v>
      </c>
      <c r="P89" s="12">
        <f t="shared" si="14"/>
        <v>0.011918176537727213</v>
      </c>
      <c r="Q89" s="3">
        <f t="shared" si="8"/>
        <v>650.1583144412169</v>
      </c>
      <c r="R89" s="12">
        <f t="shared" si="9"/>
        <v>4.730368641549432E+28</v>
      </c>
      <c r="S89" s="12">
        <f t="shared" si="10"/>
        <v>2.5195026943657854E-32</v>
      </c>
    </row>
    <row r="90" spans="9:19" ht="12.75">
      <c r="I90" s="1"/>
      <c r="J90" s="1"/>
      <c r="K90" s="1"/>
      <c r="L90" s="1"/>
      <c r="M90" s="1"/>
      <c r="O90" s="12">
        <f t="shared" si="13"/>
        <v>7.388390708496932</v>
      </c>
      <c r="P90" s="12">
        <f t="shared" si="14"/>
        <v>0.013109994191499934</v>
      </c>
      <c r="Q90" s="3">
        <f t="shared" si="8"/>
        <v>681.8917928973401</v>
      </c>
      <c r="R90" s="12">
        <f t="shared" si="9"/>
        <v>9.372182809732152E+30</v>
      </c>
      <c r="S90" s="12">
        <f t="shared" si="10"/>
        <v>1.3988197261673566E-34</v>
      </c>
    </row>
    <row r="91" spans="9:19" ht="12.75">
      <c r="I91" s="1"/>
      <c r="J91" s="1"/>
      <c r="K91" s="1"/>
      <c r="L91" s="1"/>
      <c r="M91" s="1"/>
      <c r="O91" s="12">
        <f t="shared" si="13"/>
        <v>7.388390708496932</v>
      </c>
      <c r="P91" s="12">
        <f t="shared" si="14"/>
        <v>0.014420993610649926</v>
      </c>
      <c r="Q91" s="3">
        <f t="shared" si="8"/>
        <v>715.1741458853387</v>
      </c>
      <c r="R91" s="12">
        <f t="shared" si="9"/>
        <v>2.4037970198100092E+33</v>
      </c>
      <c r="S91" s="12">
        <f t="shared" si="10"/>
        <v>5.999255965376698E-37</v>
      </c>
    </row>
    <row r="92" spans="9:19" ht="12.75">
      <c r="I92" s="1"/>
      <c r="J92" s="1"/>
      <c r="K92" s="1"/>
      <c r="L92" s="1"/>
      <c r="M92" s="1"/>
      <c r="O92" s="12">
        <f t="shared" si="13"/>
        <v>7.388390708496932</v>
      </c>
      <c r="P92" s="12">
        <f t="shared" si="14"/>
        <v>0.01586309297171492</v>
      </c>
      <c r="Q92" s="3">
        <f t="shared" si="8"/>
        <v>750.0809721870739</v>
      </c>
      <c r="R92" s="12">
        <f t="shared" si="9"/>
        <v>8.082358927416738E+35</v>
      </c>
      <c r="S92" s="12">
        <f t="shared" si="10"/>
        <v>1.9626810828586945E-39</v>
      </c>
    </row>
    <row r="93" spans="9:19" ht="12.75">
      <c r="I93" s="1"/>
      <c r="J93" s="1"/>
      <c r="K93" s="1"/>
      <c r="L93" s="1"/>
      <c r="M93" s="1"/>
      <c r="O93" s="12">
        <f t="shared" si="13"/>
        <v>7.388390708496932</v>
      </c>
      <c r="P93" s="12">
        <f t="shared" si="14"/>
        <v>0.017449402268886412</v>
      </c>
      <c r="Q93" s="3">
        <f t="shared" si="8"/>
        <v>786.6915604738726</v>
      </c>
      <c r="R93" s="12">
        <f t="shared" si="9"/>
        <v>3.609947437074816E+38</v>
      </c>
      <c r="S93" s="12">
        <f t="shared" si="10"/>
        <v>4.8336998178083926E-42</v>
      </c>
    </row>
    <row r="94" spans="9:19" ht="12.75">
      <c r="I94" s="1"/>
      <c r="J94" s="1"/>
      <c r="K94" s="1"/>
      <c r="L94" s="1"/>
      <c r="M94" s="1"/>
      <c r="O94" s="12">
        <f t="shared" si="13"/>
        <v>7.388390708496932</v>
      </c>
      <c r="P94" s="12">
        <f t="shared" si="14"/>
        <v>0.019194342495775053</v>
      </c>
      <c r="Q94" s="3">
        <f t="shared" si="8"/>
        <v>825.0890694057814</v>
      </c>
      <c r="R94" s="12">
        <f t="shared" si="9"/>
        <v>2.171727111431614E+41</v>
      </c>
      <c r="S94" s="12">
        <f t="shared" si="10"/>
        <v>8.838284697344889E-45</v>
      </c>
    </row>
    <row r="95" spans="9:19" ht="12.75">
      <c r="I95" s="1"/>
      <c r="J95" s="1"/>
      <c r="K95" s="1"/>
      <c r="L95" s="1"/>
      <c r="M95" s="1"/>
      <c r="O95" s="12">
        <f t="shared" si="13"/>
        <v>7.388390708496932</v>
      </c>
      <c r="P95" s="12">
        <f t="shared" si="14"/>
        <v>0.021113776745352558</v>
      </c>
      <c r="Q95" s="3">
        <f t="shared" si="8"/>
        <v>865.36071652126</v>
      </c>
      <c r="R95" s="12">
        <f t="shared" si="9"/>
        <v>1.785518165328302E+44</v>
      </c>
      <c r="S95" s="12">
        <f t="shared" si="10"/>
        <v>1.1825013688096747E-47</v>
      </c>
    </row>
    <row r="96" spans="9:19" ht="12.75">
      <c r="I96" s="1"/>
      <c r="J96" s="1"/>
      <c r="K96" s="1"/>
      <c r="L96" s="1"/>
      <c r="M96" s="1"/>
      <c r="O96" s="12">
        <f t="shared" si="13"/>
        <v>7.388390708496932</v>
      </c>
      <c r="P96" s="12">
        <f t="shared" si="14"/>
        <v>0.023225154419887813</v>
      </c>
      <c r="Q96" s="3">
        <f t="shared" si="8"/>
        <v>907.5979763463596</v>
      </c>
      <c r="R96" s="12">
        <f t="shared" si="9"/>
        <v>2.0370377862152114E+47</v>
      </c>
      <c r="S96" s="12">
        <f t="shared" si="10"/>
        <v>1.1401435249289036E-50</v>
      </c>
    </row>
    <row r="97" spans="9:19" ht="12.75">
      <c r="I97" s="1"/>
      <c r="J97" s="1"/>
      <c r="K97" s="1"/>
      <c r="L97" s="1"/>
      <c r="M97" s="1"/>
      <c r="O97" s="12">
        <f t="shared" si="13"/>
        <v>7.388390708496932</v>
      </c>
      <c r="P97" s="12">
        <f t="shared" si="14"/>
        <v>0.025547669861876593</v>
      </c>
      <c r="Q97" s="3">
        <f t="shared" si="8"/>
        <v>951.8967881733857</v>
      </c>
      <c r="R97" s="12">
        <f t="shared" si="9"/>
        <v>3.27683072376713E+50</v>
      </c>
      <c r="S97" s="12">
        <f t="shared" si="10"/>
        <v>7.79645700846772E-54</v>
      </c>
    </row>
    <row r="98" spans="9:19" ht="12.75">
      <c r="I98" s="1"/>
      <c r="J98" s="1"/>
      <c r="K98" s="1"/>
      <c r="L98" s="1"/>
      <c r="M98" s="1"/>
      <c r="O98" s="12">
        <f t="shared" si="13"/>
        <v>7.388390708496932</v>
      </c>
      <c r="P98" s="12">
        <f t="shared" si="14"/>
        <v>0.028102436848064252</v>
      </c>
      <c r="Q98" s="3">
        <f t="shared" si="8"/>
        <v>998.3577739809956</v>
      </c>
      <c r="R98" s="12">
        <f t="shared" si="9"/>
        <v>7.558094197610428E+53</v>
      </c>
      <c r="S98" s="12">
        <f t="shared" si="10"/>
        <v>3.7181908710464527E-57</v>
      </c>
    </row>
    <row r="99" spans="9:19" ht="12.75">
      <c r="I99" s="1"/>
      <c r="J99" s="1"/>
      <c r="K99" s="1"/>
      <c r="L99" s="1"/>
      <c r="M99" s="1"/>
      <c r="O99" s="12">
        <f t="shared" si="13"/>
        <v>7.388390708496932</v>
      </c>
      <c r="P99" s="12">
        <f t="shared" si="14"/>
        <v>0.030912680532870676</v>
      </c>
      <c r="Q99" s="3">
        <f t="shared" si="8"/>
        <v>1047.0864669907244</v>
      </c>
      <c r="R99" s="12">
        <f t="shared" si="9"/>
        <v>2.5439742692209922E+57</v>
      </c>
      <c r="S99" s="12">
        <f t="shared" si="10"/>
        <v>1.2151333803520215E-60</v>
      </c>
    </row>
    <row r="100" spans="9:19" ht="12.75">
      <c r="I100" s="1"/>
      <c r="J100" s="1"/>
      <c r="K100" s="1"/>
      <c r="L100" s="1"/>
      <c r="M100" s="1"/>
      <c r="O100" s="12">
        <f t="shared" si="13"/>
        <v>7.388390708496932</v>
      </c>
      <c r="P100" s="12">
        <f t="shared" si="14"/>
        <v>0.034003948586157746</v>
      </c>
      <c r="Q100" s="3">
        <f t="shared" si="8"/>
        <v>1098.193551379095</v>
      </c>
      <c r="R100" s="12">
        <f t="shared" si="9"/>
        <v>1.272819549302884E+61</v>
      </c>
      <c r="S100" s="12">
        <f t="shared" si="10"/>
        <v>2.6715451223845136E-64</v>
      </c>
    </row>
    <row r="101" spans="9:19" ht="12.75">
      <c r="I101" s="1"/>
      <c r="J101" s="1"/>
      <c r="K101" s="1"/>
      <c r="L101" s="1"/>
      <c r="M101" s="1"/>
      <c r="O101" s="12">
        <f t="shared" si="13"/>
        <v>7.388390708496932</v>
      </c>
      <c r="P101" s="12">
        <f t="shared" si="14"/>
        <v>0.03740434344477352</v>
      </c>
      <c r="Q101" s="3">
        <f t="shared" si="8"/>
        <v>1151.7951136897968</v>
      </c>
      <c r="R101" s="12">
        <f t="shared" si="9"/>
        <v>9.651110598734435E+64</v>
      </c>
      <c r="S101" s="12">
        <f t="shared" si="10"/>
        <v>3.8756517254789735E-68</v>
      </c>
    </row>
    <row r="102" spans="9:19" ht="12.75">
      <c r="I102" s="1"/>
      <c r="J102" s="1"/>
      <c r="K102" s="1"/>
      <c r="L102" s="1"/>
      <c r="M102" s="1"/>
      <c r="O102" s="12">
        <f t="shared" si="13"/>
        <v>7.388390708496932</v>
      </c>
      <c r="P102" s="12">
        <f t="shared" si="14"/>
        <v>0.04114477778925087</v>
      </c>
      <c r="Q102" s="3">
        <f t="shared" si="8"/>
        <v>1208.0129065170047</v>
      </c>
      <c r="R102" s="12">
        <f t="shared" si="9"/>
        <v>1.1317664809400712E+69</v>
      </c>
      <c r="S102" s="12">
        <f t="shared" si="10"/>
        <v>3.6354476371375726E-72</v>
      </c>
    </row>
    <row r="103" spans="9:19" ht="12.75">
      <c r="I103" s="1"/>
      <c r="J103" s="1"/>
      <c r="K103" s="1"/>
      <c r="L103" s="1"/>
      <c r="M103" s="1"/>
      <c r="O103" s="12">
        <f t="shared" si="13"/>
        <v>7.388390708496932</v>
      </c>
      <c r="P103" s="12">
        <f t="shared" si="14"/>
        <v>0.04525925556817596</v>
      </c>
      <c r="Q103" s="3">
        <f t="shared" si="8"/>
        <v>1266.9746250587766</v>
      </c>
      <c r="R103" s="12">
        <f t="shared" si="9"/>
        <v>2.0967580955989536E+73</v>
      </c>
      <c r="S103" s="12">
        <f t="shared" si="10"/>
        <v>2.1585349145985932E-76</v>
      </c>
    </row>
    <row r="104" spans="9:19" ht="12.75">
      <c r="I104" s="1"/>
      <c r="J104" s="1"/>
      <c r="K104" s="1"/>
      <c r="L104" s="1"/>
      <c r="M104" s="1"/>
      <c r="O104" s="12">
        <f t="shared" si="13"/>
        <v>7.388390708496932</v>
      </c>
      <c r="P104" s="12">
        <f t="shared" si="14"/>
        <v>0.04978518112499356</v>
      </c>
      <c r="Q104" s="3">
        <f t="shared" si="8"/>
        <v>1328.814197168705</v>
      </c>
      <c r="R104" s="12">
        <f t="shared" si="9"/>
        <v>6.275463630179169E+77</v>
      </c>
      <c r="S104" s="12">
        <f t="shared" si="10"/>
        <v>7.9333072516862245E-81</v>
      </c>
    </row>
    <row r="105" spans="9:13" ht="12.75">
      <c r="I105" s="1"/>
      <c r="J105" s="1"/>
      <c r="K105" s="1"/>
      <c r="L105" s="1"/>
      <c r="M105" s="1"/>
    </row>
    <row r="106" spans="9:13" ht="12.75">
      <c r="I106" s="1"/>
      <c r="J106" s="1"/>
      <c r="K106" s="1"/>
      <c r="L106" s="1"/>
      <c r="M106" s="1"/>
    </row>
    <row r="107" spans="9:13" ht="12.75">
      <c r="I107" s="1"/>
      <c r="J107" s="1"/>
      <c r="K107" s="1"/>
      <c r="L107" s="1"/>
      <c r="M107" s="1"/>
    </row>
    <row r="108" spans="9:13" ht="12.75">
      <c r="I108" s="1"/>
      <c r="J108" s="1"/>
      <c r="K108" s="1"/>
      <c r="L108" s="1"/>
      <c r="M108" s="1"/>
    </row>
    <row r="109" spans="9:13" ht="12.75">
      <c r="I109" s="1"/>
      <c r="J109" s="1"/>
      <c r="K109" s="1"/>
      <c r="L109" s="1"/>
      <c r="M109" s="1"/>
    </row>
    <row r="110" spans="9:13" ht="12.75">
      <c r="I110" s="1"/>
      <c r="J110" s="1"/>
      <c r="K110" s="1"/>
      <c r="L110" s="1"/>
      <c r="M110" s="1"/>
    </row>
    <row r="111" spans="9:13" ht="12.75">
      <c r="I111" s="1"/>
      <c r="J111" s="1"/>
      <c r="K111" s="1"/>
      <c r="L111" s="1"/>
      <c r="M111" s="1"/>
    </row>
    <row r="112" spans="9:13" ht="12.75">
      <c r="I112" s="1"/>
      <c r="J112" s="1"/>
      <c r="K112" s="1"/>
      <c r="L112" s="1"/>
      <c r="M112" s="1"/>
    </row>
    <row r="113" spans="9:13" ht="12.75">
      <c r="I113" s="1"/>
      <c r="J113" s="1"/>
      <c r="K113" s="1"/>
      <c r="L113" s="1"/>
      <c r="M113" s="1"/>
    </row>
    <row r="114" spans="9:13" ht="12.75">
      <c r="I114" s="1"/>
      <c r="J114" s="1"/>
      <c r="K114" s="1"/>
      <c r="L114" s="1"/>
      <c r="M114" s="1"/>
    </row>
    <row r="115" spans="9:13" ht="12.75">
      <c r="I115" s="1"/>
      <c r="J115" s="1"/>
      <c r="K115" s="1"/>
      <c r="L115" s="1"/>
      <c r="M115" s="1"/>
    </row>
    <row r="116" spans="9:13" ht="12.75">
      <c r="I116" s="1"/>
      <c r="J116" s="1"/>
      <c r="K116" s="1"/>
      <c r="L116" s="1"/>
      <c r="M116" s="1"/>
    </row>
    <row r="117" spans="9:13" ht="12.75">
      <c r="I117" s="1"/>
      <c r="J117" s="1"/>
      <c r="K117" s="1"/>
      <c r="L117" s="1"/>
      <c r="M117" s="1"/>
    </row>
    <row r="118" spans="9:13" ht="12.75">
      <c r="I118" s="1"/>
      <c r="J118" s="1"/>
      <c r="K118" s="1"/>
      <c r="L118" s="1"/>
      <c r="M118" s="1"/>
    </row>
    <row r="119" spans="9:13" ht="12.75">
      <c r="I119" s="1"/>
      <c r="J119" s="1"/>
      <c r="K119" s="1"/>
      <c r="L119" s="1"/>
      <c r="M119" s="1"/>
    </row>
    <row r="120" spans="9:13" ht="12.75">
      <c r="I120" s="1"/>
      <c r="J120" s="1"/>
      <c r="K120" s="1"/>
      <c r="L120" s="1"/>
      <c r="M120" s="1"/>
    </row>
    <row r="121" spans="9:13" ht="12.75">
      <c r="I121" s="1"/>
      <c r="J121" s="1"/>
      <c r="K121" s="1"/>
      <c r="L121" s="1"/>
      <c r="M121" s="1"/>
    </row>
    <row r="122" spans="9:13" ht="12.75">
      <c r="I122" s="1"/>
      <c r="J122" s="1"/>
      <c r="K122" s="1"/>
      <c r="L122" s="1"/>
      <c r="M122" s="1"/>
    </row>
    <row r="123" spans="9:13" ht="12.75">
      <c r="I123" s="1"/>
      <c r="J123" s="1"/>
      <c r="K123" s="1"/>
      <c r="L123" s="1"/>
      <c r="M123" s="1"/>
    </row>
    <row r="124" spans="9:13" ht="12.75">
      <c r="I124" s="1"/>
      <c r="J124" s="1"/>
      <c r="K124" s="1"/>
      <c r="L124" s="1"/>
      <c r="M124" s="1"/>
    </row>
    <row r="125" spans="9:13" ht="12.75">
      <c r="I125" s="1"/>
      <c r="J125" s="1"/>
      <c r="K125" s="1"/>
      <c r="L125" s="1"/>
      <c r="M125" s="1"/>
    </row>
    <row r="126" spans="9:13" ht="12.75">
      <c r="I126" s="1"/>
      <c r="J126" s="1"/>
      <c r="K126" s="1"/>
      <c r="L126" s="1"/>
      <c r="M126" s="1"/>
    </row>
    <row r="127" spans="9:13" ht="12.75">
      <c r="I127" s="1"/>
      <c r="J127" s="1"/>
      <c r="K127" s="1"/>
      <c r="L127" s="1"/>
      <c r="M127" s="1"/>
    </row>
    <row r="128" spans="9:13" ht="12.75">
      <c r="I128" s="1"/>
      <c r="J128" s="1"/>
      <c r="K128" s="1"/>
      <c r="L128" s="1"/>
      <c r="M128" s="1"/>
    </row>
    <row r="129" spans="9:13" ht="12.75">
      <c r="I129" s="1"/>
      <c r="J129" s="1"/>
      <c r="K129" s="1"/>
      <c r="L129" s="1"/>
      <c r="M129" s="1"/>
    </row>
    <row r="130" spans="9:13" ht="12.75">
      <c r="I130" s="1"/>
      <c r="J130" s="1"/>
      <c r="K130" s="1"/>
      <c r="L130" s="1"/>
      <c r="M130" s="1"/>
    </row>
    <row r="131" spans="9:13" ht="12.75">
      <c r="I131" s="1"/>
      <c r="J131" s="1"/>
      <c r="K131" s="1"/>
      <c r="L131" s="1"/>
      <c r="M131" s="1"/>
    </row>
    <row r="132" spans="9:13" ht="12.75">
      <c r="I132" s="1"/>
      <c r="J132" s="1"/>
      <c r="K132" s="1"/>
      <c r="L132" s="1"/>
      <c r="M132" s="1"/>
    </row>
    <row r="133" spans="9:13" ht="12.75">
      <c r="I133" s="1"/>
      <c r="J133" s="1"/>
      <c r="K133" s="1"/>
      <c r="L133" s="1"/>
      <c r="M133" s="1"/>
    </row>
    <row r="134" spans="9:13" ht="12.75">
      <c r="I134" s="1"/>
      <c r="J134" s="1"/>
      <c r="K134" s="1"/>
      <c r="L134" s="1"/>
      <c r="M134" s="1"/>
    </row>
    <row r="135" spans="9:13" ht="12.75">
      <c r="I135" s="1"/>
      <c r="J135" s="1"/>
      <c r="K135" s="1"/>
      <c r="L135" s="1"/>
      <c r="M135" s="1"/>
    </row>
    <row r="136" spans="9:13" ht="12.75">
      <c r="I136" s="1"/>
      <c r="J136" s="1"/>
      <c r="K136" s="1"/>
      <c r="L136" s="1"/>
      <c r="M136" s="1"/>
    </row>
    <row r="137" spans="9:13" ht="12.75">
      <c r="I137" s="1"/>
      <c r="J137" s="1"/>
      <c r="K137" s="1"/>
      <c r="L137" s="1"/>
      <c r="M137" s="1"/>
    </row>
    <row r="138" spans="9:13" ht="12.75">
      <c r="I138" s="1"/>
      <c r="J138" s="1"/>
      <c r="K138" s="1"/>
      <c r="L138" s="1"/>
      <c r="M138" s="1"/>
    </row>
    <row r="139" spans="9:13" ht="12.75">
      <c r="I139" s="1"/>
      <c r="J139" s="1"/>
      <c r="K139" s="1"/>
      <c r="L139" s="1"/>
      <c r="M139" s="1"/>
    </row>
    <row r="140" spans="9:13" ht="12.75">
      <c r="I140" s="1"/>
      <c r="J140" s="1"/>
      <c r="K140" s="1"/>
      <c r="L140" s="1"/>
      <c r="M140" s="1"/>
    </row>
    <row r="141" spans="9:13" ht="12.75">
      <c r="I141" s="1"/>
      <c r="J141" s="1"/>
      <c r="K141" s="1"/>
      <c r="L141" s="1"/>
      <c r="M141" s="1"/>
    </row>
    <row r="142" spans="9:13" ht="12.75">
      <c r="I142" s="1"/>
      <c r="J142" s="1"/>
      <c r="K142" s="1"/>
      <c r="L142" s="1"/>
      <c r="M142" s="1"/>
    </row>
    <row r="143" spans="9:13" ht="12.75">
      <c r="I143" s="1"/>
      <c r="J143" s="1"/>
      <c r="K143" s="1"/>
      <c r="L143" s="1"/>
      <c r="M143" s="1"/>
    </row>
  </sheetData>
  <mergeCells count="4">
    <mergeCell ref="A1:J5"/>
    <mergeCell ref="K7:L7"/>
    <mergeCell ref="B33:C33"/>
    <mergeCell ref="X7:Z7"/>
  </mergeCells>
  <printOptions/>
  <pageMargins left="0.75" right="0.75" top="1" bottom="1" header="0.5" footer="0.5"/>
  <pageSetup fitToHeight="1" fitToWidth="1" horizontalDpi="600" verticalDpi="600" orientation="landscape" paperSize="17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74"/>
  <sheetViews>
    <sheetView workbookViewId="0" topLeftCell="A20">
      <selection activeCell="A54" sqref="A54"/>
    </sheetView>
  </sheetViews>
  <sheetFormatPr defaultColWidth="9.140625" defaultRowHeight="12.75"/>
  <cols>
    <col min="5" max="6" width="12.28125" style="0" bestFit="1" customWidth="1"/>
  </cols>
  <sheetData>
    <row r="2" spans="13:16" ht="12.75">
      <c r="M2" t="s">
        <v>187</v>
      </c>
      <c r="O2" t="s">
        <v>192</v>
      </c>
      <c r="P2">
        <v>0.25</v>
      </c>
    </row>
    <row r="3" spans="1:9" ht="12.75">
      <c r="A3" t="s">
        <v>175</v>
      </c>
      <c r="B3" t="s">
        <v>176</v>
      </c>
      <c r="E3">
        <f>1/4.4545/39.37^1.5</f>
        <v>0.0009087677666946509</v>
      </c>
      <c r="G3" t="s">
        <v>193</v>
      </c>
      <c r="I3">
        <v>1800</v>
      </c>
    </row>
    <row r="4" ht="12.75">
      <c r="M4" t="s">
        <v>188</v>
      </c>
    </row>
    <row r="5" spans="1:14" ht="12.75">
      <c r="A5" t="s">
        <v>177</v>
      </c>
      <c r="M5" s="1" t="s">
        <v>189</v>
      </c>
      <c r="N5" s="1" t="s">
        <v>190</v>
      </c>
    </row>
    <row r="6" spans="13:14" ht="12.75">
      <c r="M6" s="1">
        <v>0</v>
      </c>
      <c r="N6" s="1">
        <v>1.99</v>
      </c>
    </row>
    <row r="7" spans="2:14" ht="12.75">
      <c r="B7" s="1" t="s">
        <v>178</v>
      </c>
      <c r="C7" s="1">
        <v>631900</v>
      </c>
      <c r="D7" s="33" t="s">
        <v>163</v>
      </c>
      <c r="E7" s="1">
        <v>14860</v>
      </c>
      <c r="F7" s="1" t="s">
        <v>179</v>
      </c>
      <c r="G7" s="36" t="s">
        <v>180</v>
      </c>
      <c r="J7" t="s">
        <v>182</v>
      </c>
      <c r="M7" s="1">
        <v>0.2</v>
      </c>
      <c r="N7" s="1">
        <v>2.434</v>
      </c>
    </row>
    <row r="8" spans="2:14" ht="12.75">
      <c r="B8" s="1" t="s">
        <v>178</v>
      </c>
      <c r="C8" s="1">
        <f>me*C7</f>
        <v>574.25035177435</v>
      </c>
      <c r="D8" s="33" t="s">
        <v>163</v>
      </c>
      <c r="E8" s="1">
        <f>me*E7</f>
        <v>13.504289013082513</v>
      </c>
      <c r="F8" s="1" t="s">
        <v>184</v>
      </c>
      <c r="G8" t="s">
        <v>181</v>
      </c>
      <c r="J8" t="s">
        <v>183</v>
      </c>
      <c r="M8" s="1">
        <v>0.4</v>
      </c>
      <c r="N8" s="1">
        <v>3.734</v>
      </c>
    </row>
    <row r="9" spans="13:14" ht="12.75">
      <c r="M9" s="1">
        <v>0.6</v>
      </c>
      <c r="N9" s="1">
        <v>7.143</v>
      </c>
    </row>
    <row r="10" spans="2:14" ht="12.75">
      <c r="B10" t="s">
        <v>136</v>
      </c>
      <c r="C10">
        <v>732000</v>
      </c>
      <c r="D10" t="s">
        <v>185</v>
      </c>
      <c r="F10">
        <f>me*C10</f>
        <v>665.2180052204844</v>
      </c>
      <c r="G10" t="s">
        <v>186</v>
      </c>
      <c r="M10" s="1">
        <v>0.8</v>
      </c>
      <c r="N10" s="1">
        <v>15.985</v>
      </c>
    </row>
    <row r="11" spans="4:6" ht="12.75">
      <c r="D11" s="1" t="s">
        <v>128</v>
      </c>
      <c r="E11" s="1" t="s">
        <v>190</v>
      </c>
      <c r="F11" s="1" t="s">
        <v>123</v>
      </c>
    </row>
    <row r="12" spans="4:13" ht="12.75">
      <c r="D12" s="10">
        <v>0.029</v>
      </c>
      <c r="E12" s="11">
        <f>1.6126*EXP(2.6218*D12/t)</f>
        <v>2.1857883912652754</v>
      </c>
      <c r="F12" s="6">
        <f>E12*$I$3*SQRT(D12)</f>
        <v>670.0074305222355</v>
      </c>
      <c r="M12" t="s">
        <v>191</v>
      </c>
    </row>
    <row r="13" spans="4:6" ht="12.75">
      <c r="D13" s="10">
        <f>(0.8*D12+0.2*D12*$F$10^2/F12^2)</f>
        <v>0.028917375897234674</v>
      </c>
      <c r="E13" s="11">
        <f>1.6126*EXP(2.6218*D13/t)</f>
        <v>2.183895235804797</v>
      </c>
      <c r="F13" s="6">
        <f>E13*$I$3*SQRT(D13)</f>
        <v>668.4728085876991</v>
      </c>
    </row>
    <row r="14" spans="4:6" ht="12.75">
      <c r="D14" s="10">
        <f aca="true" t="shared" si="0" ref="D14:D22">(0.8*D13+0.2*D13*$F$10^2/F13^2)</f>
        <v>0.028861193366225862</v>
      </c>
      <c r="E14" s="11">
        <f aca="true" t="shared" si="1" ref="E14:E22">1.6126*EXP(2.6218*D14/t)</f>
        <v>2.1826088693235217</v>
      </c>
      <c r="F14" s="6">
        <f aca="true" t="shared" si="2" ref="F14:F22">E14*$I$3*SQRT(D14)</f>
        <v>667.4297531889642</v>
      </c>
    </row>
    <row r="15" spans="4:6" ht="12.75">
      <c r="D15" s="10">
        <f t="shared" si="0"/>
        <v>0.028823000331805983</v>
      </c>
      <c r="E15" s="11">
        <f t="shared" si="1"/>
        <v>2.181734826608148</v>
      </c>
      <c r="F15" s="6">
        <f t="shared" si="2"/>
        <v>666.7208897983626</v>
      </c>
    </row>
    <row r="16" spans="4:6" ht="12.75">
      <c r="D16" s="10">
        <f t="shared" si="0"/>
        <v>0.028797041150831166</v>
      </c>
      <c r="E16" s="11">
        <f t="shared" si="1"/>
        <v>2.1811409538743107</v>
      </c>
      <c r="F16" s="6">
        <f t="shared" si="2"/>
        <v>666.2391829605699</v>
      </c>
    </row>
    <row r="17" spans="4:6" ht="12.75">
      <c r="D17" s="10">
        <f t="shared" si="0"/>
        <v>0.02877939922195506</v>
      </c>
      <c r="E17" s="11">
        <f t="shared" si="1"/>
        <v>2.1807374486380797</v>
      </c>
      <c r="F17" s="6">
        <f t="shared" si="2"/>
        <v>665.9118579626434</v>
      </c>
    </row>
    <row r="18" spans="4:6" ht="12.75">
      <c r="D18" s="10">
        <f t="shared" si="0"/>
        <v>0.02876741069130151</v>
      </c>
      <c r="E18" s="11">
        <f t="shared" si="1"/>
        <v>2.1804632902176224</v>
      </c>
      <c r="F18" s="6">
        <f t="shared" si="2"/>
        <v>665.6894454518116</v>
      </c>
    </row>
    <row r="19" spans="4:6" ht="12.75">
      <c r="D19" s="10">
        <f t="shared" si="0"/>
        <v>0.028759264362703804</v>
      </c>
      <c r="E19" s="11">
        <f t="shared" si="1"/>
        <v>2.1802770164482825</v>
      </c>
      <c r="F19" s="6">
        <f t="shared" si="2"/>
        <v>665.5383233023354</v>
      </c>
    </row>
    <row r="20" spans="4:6" ht="12.75">
      <c r="D20" s="10">
        <f t="shared" si="0"/>
        <v>0.028753729056791615</v>
      </c>
      <c r="E20" s="11">
        <f t="shared" si="1"/>
        <v>2.1801504553458253</v>
      </c>
      <c r="F20" s="6">
        <f t="shared" si="2"/>
        <v>665.4356424532665</v>
      </c>
    </row>
    <row r="21" spans="4:6" ht="12.75">
      <c r="D21" s="10">
        <f t="shared" si="0"/>
        <v>0.02874996799665347</v>
      </c>
      <c r="E21" s="11">
        <f t="shared" si="1"/>
        <v>2.180064465389338</v>
      </c>
      <c r="F21" s="6">
        <f t="shared" si="2"/>
        <v>665.3658761644145</v>
      </c>
    </row>
    <row r="22" spans="4:6" ht="12.75">
      <c r="D22" s="10">
        <f t="shared" si="0"/>
        <v>0.02874741252294794</v>
      </c>
      <c r="E22" s="11">
        <f t="shared" si="1"/>
        <v>2.1800060409593836</v>
      </c>
      <c r="F22" s="6">
        <f t="shared" si="2"/>
        <v>665.3184739878617</v>
      </c>
    </row>
    <row r="25" spans="1:8" ht="12.75">
      <c r="A25" t="s">
        <v>194</v>
      </c>
      <c r="F25">
        <v>0.007</v>
      </c>
      <c r="H25">
        <f>A174</f>
        <v>59348.91180316809</v>
      </c>
    </row>
    <row r="26" spans="5:6" ht="12.75">
      <c r="E26" t="s">
        <v>131</v>
      </c>
      <c r="F26" t="s">
        <v>130</v>
      </c>
    </row>
    <row r="27" spans="1:10" ht="12.75">
      <c r="A27" s="1" t="s">
        <v>129</v>
      </c>
      <c r="B27" s="1" t="s">
        <v>128</v>
      </c>
      <c r="C27" s="1" t="s">
        <v>190</v>
      </c>
      <c r="D27" s="1" t="s">
        <v>123</v>
      </c>
      <c r="E27" s="1" t="s">
        <v>195</v>
      </c>
      <c r="F27" s="1" t="s">
        <v>196</v>
      </c>
      <c r="G27" s="1"/>
      <c r="H27" s="1"/>
      <c r="I27" s="1"/>
      <c r="J27" s="1"/>
    </row>
    <row r="28" spans="1:10" ht="12.75">
      <c r="A28" s="1">
        <v>0</v>
      </c>
      <c r="B28" s="10">
        <f>0.75*D22</f>
        <v>0.021560559392210955</v>
      </c>
      <c r="C28" s="11">
        <f aca="true" t="shared" si="3" ref="C28:C91">1.6126*EXP(2.6218*B28/t)</f>
        <v>2.0217382915398154</v>
      </c>
      <c r="D28" s="6">
        <f aca="true" t="shared" si="4" ref="D28:D91">C28*$I$3*SQRT(B28)</f>
        <v>534.3520182004038</v>
      </c>
      <c r="E28" s="1">
        <f>39.37*EXP((D28-$C$8)/$E$8)</f>
        <v>2.051375707165271</v>
      </c>
      <c r="F28" s="1">
        <f>$F$25*B28/E28</f>
        <v>7.357204982895771E-05</v>
      </c>
      <c r="G28" s="1"/>
      <c r="H28" s="1"/>
      <c r="I28" s="1"/>
      <c r="J28" s="1"/>
    </row>
    <row r="29" spans="1:10" ht="12.75">
      <c r="A29" s="1">
        <f>A28+F28</f>
        <v>7.357204982895771E-05</v>
      </c>
      <c r="B29" s="1">
        <f>B28-(A29-A28)*E28</f>
        <v>0.021409635476465478</v>
      </c>
      <c r="C29" s="11">
        <f t="shared" si="3"/>
        <v>2.0185408773131783</v>
      </c>
      <c r="D29" s="6">
        <f t="shared" si="4"/>
        <v>531.6363777251703</v>
      </c>
      <c r="E29" s="1">
        <f aca="true" t="shared" si="5" ref="E29:E92">39.37*EXP((D29-$C$8)/$E$8)</f>
        <v>1.6776868669228089</v>
      </c>
      <c r="F29" s="1">
        <f aca="true" t="shared" si="6" ref="F29:F92">$F$25*B29/E29</f>
        <v>8.932980956699223E-05</v>
      </c>
      <c r="G29" s="1"/>
      <c r="H29" s="1"/>
      <c r="I29" s="1"/>
      <c r="J29" s="1"/>
    </row>
    <row r="30" spans="1:10" ht="12.75">
      <c r="A30" s="1">
        <f aca="true" t="shared" si="7" ref="A30:A93">A29+F29</f>
        <v>0.00016290185939594993</v>
      </c>
      <c r="B30" s="1">
        <f aca="true" t="shared" si="8" ref="B30:B93">B29-(A30-A29)*E29</f>
        <v>0.02125976802813022</v>
      </c>
      <c r="C30" s="11">
        <f t="shared" si="3"/>
        <v>2.015370848798587</v>
      </c>
      <c r="D30" s="6">
        <f t="shared" si="4"/>
        <v>528.9403987595103</v>
      </c>
      <c r="E30" s="1">
        <f t="shared" si="5"/>
        <v>1.3740701671464037</v>
      </c>
      <c r="F30" s="1">
        <f t="shared" si="6"/>
        <v>0.00010830478657867208</v>
      </c>
      <c r="G30" s="1"/>
      <c r="H30" s="1"/>
      <c r="I30" s="1"/>
      <c r="J30" s="1"/>
    </row>
    <row r="31" spans="1:10" ht="12.75">
      <c r="A31" s="1">
        <f t="shared" si="7"/>
        <v>0.000271206645974622</v>
      </c>
      <c r="B31" s="1">
        <f t="shared" si="8"/>
        <v>0.021110949651933306</v>
      </c>
      <c r="C31" s="11">
        <f t="shared" si="3"/>
        <v>2.0122279367390923</v>
      </c>
      <c r="D31" s="6">
        <f t="shared" si="4"/>
        <v>526.2638811948282</v>
      </c>
      <c r="E31" s="1">
        <f t="shared" si="5"/>
        <v>1.127023028434816</v>
      </c>
      <c r="F31" s="1">
        <f t="shared" si="6"/>
        <v>0.00013112123162981152</v>
      </c>
      <c r="G31" s="1"/>
      <c r="H31" s="1"/>
      <c r="I31" s="1"/>
      <c r="J31" s="1"/>
    </row>
    <row r="32" spans="1:10" ht="12.75">
      <c r="A32" s="1">
        <f t="shared" si="7"/>
        <v>0.0004023278776044335</v>
      </c>
      <c r="B32" s="1">
        <f t="shared" si="8"/>
        <v>0.020963173004369774</v>
      </c>
      <c r="C32" s="11">
        <f t="shared" si="3"/>
        <v>2.0091118750180064</v>
      </c>
      <c r="D32" s="6">
        <f t="shared" si="4"/>
        <v>523.6066274846082</v>
      </c>
      <c r="E32" s="1">
        <f t="shared" si="5"/>
        <v>0.9257126322651771</v>
      </c>
      <c r="F32" s="1">
        <f t="shared" si="6"/>
        <v>0.0001585181036921975</v>
      </c>
      <c r="G32" s="1"/>
      <c r="H32" s="1"/>
      <c r="I32" s="1"/>
      <c r="J32" s="1"/>
    </row>
    <row r="33" spans="1:10" ht="12.75">
      <c r="A33" s="1">
        <f t="shared" si="7"/>
        <v>0.000560845981296631</v>
      </c>
      <c r="B33" s="1">
        <f t="shared" si="8"/>
        <v>0.020816430793339186</v>
      </c>
      <c r="C33" s="11">
        <f t="shared" si="3"/>
        <v>2.0060224006154357</v>
      </c>
      <c r="D33" s="6">
        <f t="shared" si="4"/>
        <v>520.9684426061066</v>
      </c>
      <c r="E33" s="1">
        <f t="shared" si="5"/>
        <v>0.7614350058460698</v>
      </c>
      <c r="F33" s="1">
        <f t="shared" si="6"/>
        <v>0.00019136894736204412</v>
      </c>
      <c r="G33" s="1"/>
      <c r="H33" s="1"/>
      <c r="I33" s="1"/>
      <c r="J33" s="1"/>
    </row>
    <row r="34" spans="1:10" ht="12.75">
      <c r="A34" s="1">
        <f t="shared" si="7"/>
        <v>0.0007522149286586751</v>
      </c>
      <c r="B34" s="1">
        <f t="shared" si="8"/>
        <v>0.02067071577778581</v>
      </c>
      <c r="C34" s="11">
        <f t="shared" si="3"/>
        <v>2.0029592535655194</v>
      </c>
      <c r="D34" s="6">
        <f t="shared" si="4"/>
        <v>518.3491340226917</v>
      </c>
      <c r="E34" s="1">
        <f t="shared" si="5"/>
        <v>0.6271862731552692</v>
      </c>
      <c r="F34" s="1">
        <f t="shared" si="6"/>
        <v>0.00023070500206671344</v>
      </c>
      <c r="G34" s="1"/>
      <c r="H34" s="1"/>
      <c r="I34" s="1"/>
      <c r="J34" s="1"/>
    </row>
    <row r="35" spans="1:10" ht="12.75">
      <c r="A35" s="1">
        <f t="shared" si="7"/>
        <v>0.0009829199307253885</v>
      </c>
      <c r="B35" s="1">
        <f t="shared" si="8"/>
        <v>0.02052602076734131</v>
      </c>
      <c r="C35" s="11">
        <f t="shared" si="3"/>
        <v>1.9999221769143498</v>
      </c>
      <c r="D35" s="6">
        <f t="shared" si="4"/>
        <v>515.748511646824</v>
      </c>
      <c r="E35" s="1">
        <f t="shared" si="5"/>
        <v>0.517322293079333</v>
      </c>
      <c r="F35" s="1">
        <f t="shared" si="6"/>
        <v>0.00027774203295228005</v>
      </c>
      <c r="G35" s="1"/>
      <c r="H35" s="1"/>
      <c r="I35" s="1"/>
      <c r="J35" s="1"/>
    </row>
    <row r="36" spans="1:10" ht="12.75">
      <c r="A36" s="1">
        <f t="shared" si="7"/>
        <v>0.0012606619636776686</v>
      </c>
      <c r="B36" s="1">
        <f t="shared" si="8"/>
        <v>0.020382338621969923</v>
      </c>
      <c r="C36" s="11">
        <f t="shared" si="3"/>
        <v>1.996910916678564</v>
      </c>
      <c r="D36" s="6">
        <f t="shared" si="4"/>
        <v>513.1663878036576</v>
      </c>
      <c r="E36" s="1">
        <f t="shared" si="5"/>
        <v>0.42728805424690786</v>
      </c>
      <c r="F36" s="1">
        <f t="shared" si="6"/>
        <v>0.00033391144202534644</v>
      </c>
      <c r="G36" s="1"/>
      <c r="H36" s="1"/>
      <c r="I36" s="1"/>
      <c r="J36" s="1"/>
    </row>
    <row r="37" spans="1:10" ht="12.75">
      <c r="A37" s="1">
        <f t="shared" si="7"/>
        <v>0.0015945734057030152</v>
      </c>
      <c r="B37" s="1">
        <f t="shared" si="8"/>
        <v>0.020239662251616133</v>
      </c>
      <c r="C37" s="11">
        <f t="shared" si="3"/>
        <v>1.993925221804594</v>
      </c>
      <c r="D37" s="6">
        <f t="shared" si="4"/>
        <v>510.6025771952577</v>
      </c>
      <c r="E37" s="1">
        <f t="shared" si="5"/>
        <v>0.353402207282565</v>
      </c>
      <c r="F37" s="1">
        <f t="shared" si="6"/>
        <v>0.00040089629561377833</v>
      </c>
      <c r="G37" s="1"/>
      <c r="H37" s="1"/>
      <c r="I37" s="1"/>
      <c r="J37" s="1"/>
    </row>
    <row r="38" spans="1:10" ht="12.75">
      <c r="A38" s="1">
        <f t="shared" si="7"/>
        <v>0.0019954697013167934</v>
      </c>
      <c r="B38" s="1">
        <f t="shared" si="8"/>
        <v>0.02009798461585482</v>
      </c>
      <c r="C38" s="11">
        <f t="shared" si="3"/>
        <v>1.9909648441285694</v>
      </c>
      <c r="D38" s="6">
        <f t="shared" si="4"/>
        <v>508.0568968654195</v>
      </c>
      <c r="E38" s="1">
        <f t="shared" si="5"/>
        <v>0.2926852450406203</v>
      </c>
      <c r="F38" s="1">
        <f t="shared" si="6"/>
        <v>0.00048067299153211035</v>
      </c>
      <c r="G38" s="1"/>
      <c r="H38" s="1"/>
      <c r="I38" s="1"/>
      <c r="J38" s="1"/>
    </row>
    <row r="39" spans="1:10" ht="12.75">
      <c r="A39" s="1">
        <f t="shared" si="7"/>
        <v>0.002476142692848904</v>
      </c>
      <c r="B39" s="1">
        <f t="shared" si="8"/>
        <v>0.019957298723543838</v>
      </c>
      <c r="C39" s="11">
        <f t="shared" si="3"/>
        <v>1.98802953833685</v>
      </c>
      <c r="D39" s="6">
        <f t="shared" si="4"/>
        <v>505.5291661650749</v>
      </c>
      <c r="E39" s="1">
        <f t="shared" si="5"/>
        <v>0.24272228734675128</v>
      </c>
      <c r="F39" s="1">
        <f t="shared" si="6"/>
        <v>0.0005755593876108745</v>
      </c>
      <c r="G39" s="1"/>
      <c r="H39" s="1"/>
      <c r="I39" s="1"/>
      <c r="J39" s="1"/>
    </row>
    <row r="40" spans="1:10" ht="12.75">
      <c r="A40" s="1">
        <f t="shared" si="7"/>
        <v>0.0030517020804597785</v>
      </c>
      <c r="B40" s="1">
        <f t="shared" si="8"/>
        <v>0.01981759763247903</v>
      </c>
      <c r="C40" s="11">
        <f t="shared" si="3"/>
        <v>1.9851190619271886</v>
      </c>
      <c r="D40" s="6">
        <f t="shared" si="4"/>
        <v>503.01920671828253</v>
      </c>
      <c r="E40" s="1">
        <f t="shared" si="5"/>
        <v>0.20155334125043492</v>
      </c>
      <c r="F40" s="1">
        <f t="shared" si="6"/>
        <v>0.0006882703237104181</v>
      </c>
      <c r="G40" s="1"/>
      <c r="H40" s="1"/>
      <c r="I40" s="1"/>
      <c r="J40" s="1"/>
    </row>
    <row r="41" spans="1:10" ht="12.75">
      <c r="A41" s="1">
        <f t="shared" si="7"/>
        <v>0.0037399724041701967</v>
      </c>
      <c r="B41" s="1">
        <f t="shared" si="8"/>
        <v>0.019678874449051677</v>
      </c>
      <c r="C41" s="11">
        <f t="shared" si="3"/>
        <v>1.9822331751705051</v>
      </c>
      <c r="D41" s="6">
        <f t="shared" si="4"/>
        <v>500.526842388783</v>
      </c>
      <c r="E41" s="1">
        <f t="shared" si="5"/>
        <v>0.16758540855187468</v>
      </c>
      <c r="F41" s="1">
        <f t="shared" si="6"/>
        <v>0.000821981593348097</v>
      </c>
      <c r="G41" s="1"/>
      <c r="H41" s="1"/>
      <c r="I41" s="1"/>
      <c r="J41" s="1"/>
    </row>
    <row r="42" spans="1:10" ht="12.75">
      <c r="A42" s="1">
        <f t="shared" si="7"/>
        <v>0.004561953997518293</v>
      </c>
      <c r="B42" s="1">
        <f t="shared" si="8"/>
        <v>0.019541122327908316</v>
      </c>
      <c r="C42" s="11">
        <f t="shared" si="3"/>
        <v>1.9793716410732627</v>
      </c>
      <c r="D42" s="6">
        <f t="shared" si="4"/>
        <v>498.0518992471134</v>
      </c>
      <c r="E42" s="1">
        <f t="shared" si="5"/>
        <v>0.1395219905970621</v>
      </c>
      <c r="F42" s="1">
        <f t="shared" si="6"/>
        <v>0.000980403560112613</v>
      </c>
      <c r="G42" s="1"/>
      <c r="H42" s="1"/>
      <c r="I42" s="1"/>
      <c r="J42" s="1"/>
    </row>
    <row r="43" spans="1:10" ht="12.75">
      <c r="A43" s="1">
        <f t="shared" si="7"/>
        <v>0.005542357557630906</v>
      </c>
      <c r="B43" s="1">
        <f t="shared" si="8"/>
        <v>0.01940433447161296</v>
      </c>
      <c r="C43" s="11">
        <f t="shared" si="3"/>
        <v>1.9765342253404392</v>
      </c>
      <c r="D43" s="6">
        <f t="shared" si="4"/>
        <v>495.59420553826965</v>
      </c>
      <c r="E43" s="1">
        <f t="shared" si="5"/>
        <v>0.11630646673514317</v>
      </c>
      <c r="F43" s="1">
        <f t="shared" si="6"/>
        <v>0.0011678657697564484</v>
      </c>
      <c r="G43" s="1"/>
      <c r="H43" s="1"/>
      <c r="I43" s="1"/>
      <c r="J43" s="1"/>
    </row>
    <row r="44" spans="1:10" ht="12.75">
      <c r="A44" s="1">
        <f t="shared" si="7"/>
        <v>0.006710223327387355</v>
      </c>
      <c r="B44" s="1">
        <f t="shared" si="8"/>
        <v>0.01926850413031167</v>
      </c>
      <c r="C44" s="11">
        <f t="shared" si="3"/>
        <v>1.9737206963390748</v>
      </c>
      <c r="D44" s="6">
        <f t="shared" si="4"/>
        <v>493.15359164990514</v>
      </c>
      <c r="E44" s="1">
        <f t="shared" si="5"/>
        <v>0.09707655231005112</v>
      </c>
      <c r="F44" s="1">
        <f t="shared" si="6"/>
        <v>0.0013894140830361622</v>
      </c>
      <c r="G44" s="1"/>
      <c r="H44" s="1"/>
      <c r="I44" s="1"/>
      <c r="J44" s="1"/>
    </row>
    <row r="45" spans="1:10" ht="12.75">
      <c r="A45" s="1">
        <f t="shared" si="7"/>
        <v>0.008099637410423516</v>
      </c>
      <c r="B45" s="1">
        <f t="shared" si="8"/>
        <v>0.019133624601399488</v>
      </c>
      <c r="C45" s="11">
        <f t="shared" si="3"/>
        <v>1.9709308250623974</v>
      </c>
      <c r="D45" s="6">
        <f t="shared" si="4"/>
        <v>490.72989008105725</v>
      </c>
      <c r="E45" s="1">
        <f t="shared" si="5"/>
        <v>0.08112761731756411</v>
      </c>
      <c r="F45" s="1">
        <f t="shared" si="6"/>
        <v>0.0016509220489678974</v>
      </c>
      <c r="G45" s="1"/>
      <c r="H45" s="1"/>
      <c r="I45" s="1"/>
      <c r="J45" s="1"/>
    </row>
    <row r="46" spans="1:10" ht="12.75">
      <c r="A46" s="1">
        <f t="shared" si="7"/>
        <v>0.009750559459391413</v>
      </c>
      <c r="B46" s="1">
        <f t="shared" si="8"/>
        <v>0.01899968922918969</v>
      </c>
      <c r="C46" s="11">
        <f t="shared" si="3"/>
        <v>1.9681643850945036</v>
      </c>
      <c r="D46" s="6">
        <f t="shared" si="4"/>
        <v>488.32293541139205</v>
      </c>
      <c r="E46" s="1">
        <f t="shared" si="5"/>
        <v>0.06788310116371925</v>
      </c>
      <c r="F46" s="1">
        <f t="shared" si="6"/>
        <v>0.001959218455320214</v>
      </c>
      <c r="G46" s="1"/>
      <c r="H46" s="1"/>
      <c r="I46" s="1"/>
      <c r="J46" s="1"/>
    </row>
    <row r="47" spans="1:10" ht="12.75">
      <c r="A47" s="1">
        <f t="shared" si="7"/>
        <v>0.011709777914711627</v>
      </c>
      <c r="B47" s="1">
        <f t="shared" si="8"/>
        <v>0.018866691404585363</v>
      </c>
      <c r="C47" s="11">
        <f t="shared" si="3"/>
        <v>1.9654211525755936</v>
      </c>
      <c r="D47" s="6">
        <f t="shared" si="4"/>
        <v>485.9325642709557</v>
      </c>
      <c r="E47" s="1">
        <f t="shared" si="5"/>
        <v>0.05687061826074969</v>
      </c>
      <c r="F47" s="1">
        <f t="shared" si="6"/>
        <v>0.002322233235210772</v>
      </c>
      <c r="G47" s="1"/>
      <c r="H47" s="1"/>
      <c r="I47" s="1"/>
      <c r="J47" s="1"/>
    </row>
    <row r="48" spans="1:10" ht="12.75">
      <c r="A48" s="1">
        <f t="shared" si="7"/>
        <v>0.014032011149922398</v>
      </c>
      <c r="B48" s="1">
        <f t="shared" si="8"/>
        <v>0.018734624564753267</v>
      </c>
      <c r="C48" s="11">
        <f t="shared" si="3"/>
        <v>1.962700906167747</v>
      </c>
      <c r="D48" s="6">
        <f t="shared" si="4"/>
        <v>483.5586153104251</v>
      </c>
      <c r="E48" s="1">
        <f t="shared" si="5"/>
        <v>0.04770263376617112</v>
      </c>
      <c r="F48" s="1">
        <f t="shared" si="6"/>
        <v>0.002749164178148042</v>
      </c>
      <c r="G48" s="1"/>
      <c r="H48" s="1"/>
      <c r="I48" s="1"/>
      <c r="J48" s="1"/>
    </row>
    <row r="49" spans="1:10" ht="12.75">
      <c r="A49" s="1">
        <f t="shared" si="7"/>
        <v>0.01678117532807044</v>
      </c>
      <c r="B49" s="1">
        <f t="shared" si="8"/>
        <v>0.018603482192799992</v>
      </c>
      <c r="C49" s="11">
        <f t="shared" si="3"/>
        <v>1.96000342702123</v>
      </c>
      <c r="D49" s="6">
        <f t="shared" si="4"/>
        <v>481.2009291718486</v>
      </c>
      <c r="E49" s="1">
        <f t="shared" si="5"/>
        <v>0.04006081447179731</v>
      </c>
      <c r="F49" s="1">
        <f t="shared" si="6"/>
        <v>0.003250667193530913</v>
      </c>
      <c r="G49" s="1"/>
      <c r="H49" s="1"/>
      <c r="I49" s="1"/>
      <c r="J49" s="1"/>
    </row>
    <row r="50" spans="1:10" ht="12.75">
      <c r="A50" s="1">
        <f t="shared" si="7"/>
        <v>0.020031842521601353</v>
      </c>
      <c r="B50" s="1">
        <f t="shared" si="8"/>
        <v>0.018473257817450392</v>
      </c>
      <c r="C50" s="11">
        <f t="shared" si="3"/>
        <v>1.9573284987413273</v>
      </c>
      <c r="D50" s="6">
        <f t="shared" si="4"/>
        <v>478.8593484598662</v>
      </c>
      <c r="E50" s="1">
        <f t="shared" si="5"/>
        <v>0.03368333911156463</v>
      </c>
      <c r="F50" s="1">
        <f t="shared" si="6"/>
        <v>0.0038390732074943027</v>
      </c>
      <c r="G50" s="1"/>
      <c r="H50" s="1"/>
      <c r="I50" s="1"/>
      <c r="J50" s="1"/>
    </row>
    <row r="51" spans="1:10" ht="12.75">
      <c r="A51" s="1">
        <f t="shared" si="7"/>
        <v>0.023870915729095655</v>
      </c>
      <c r="B51" s="1">
        <f t="shared" si="8"/>
        <v>0.01834394501272824</v>
      </c>
      <c r="C51" s="11">
        <f t="shared" si="3"/>
        <v>1.954675907355683</v>
      </c>
      <c r="D51" s="6">
        <f t="shared" si="4"/>
        <v>476.53371771340187</v>
      </c>
      <c r="E51" s="1">
        <f t="shared" si="5"/>
        <v>0.02835459493313334</v>
      </c>
      <c r="F51" s="1">
        <f t="shared" si="6"/>
        <v>0.004528635143330821</v>
      </c>
      <c r="G51" s="1"/>
      <c r="H51" s="1"/>
      <c r="I51" s="1"/>
      <c r="J51" s="1"/>
    </row>
    <row r="52" spans="1:10" ht="12.75">
      <c r="A52" s="1">
        <f t="shared" si="7"/>
        <v>0.028399550872426474</v>
      </c>
      <c r="B52" s="1">
        <f t="shared" si="8"/>
        <v>0.01821553739763914</v>
      </c>
      <c r="C52" s="11">
        <f t="shared" si="3"/>
        <v>1.9520454412821522</v>
      </c>
      <c r="D52" s="6">
        <f t="shared" si="4"/>
        <v>474.2238833778189</v>
      </c>
      <c r="E52" s="1">
        <f t="shared" si="5"/>
        <v>0.02389680093231383</v>
      </c>
      <c r="F52" s="1">
        <f t="shared" si="6"/>
        <v>0.005335808845068193</v>
      </c>
      <c r="G52" s="1"/>
      <c r="H52" s="1"/>
      <c r="I52" s="1"/>
      <c r="J52" s="1"/>
    </row>
    <row r="53" spans="1:10" ht="12.75">
      <c r="A53" s="1">
        <f t="shared" si="7"/>
        <v>0.03373535971749467</v>
      </c>
      <c r="B53" s="1">
        <f t="shared" si="8"/>
        <v>0.018088028635855666</v>
      </c>
      <c r="C53" s="11">
        <f t="shared" si="3"/>
        <v>1.949436891297142</v>
      </c>
      <c r="D53" s="6">
        <f t="shared" si="4"/>
        <v>471.9296937775292</v>
      </c>
      <c r="E53" s="1">
        <f t="shared" si="5"/>
        <v>0.020163188712474807</v>
      </c>
      <c r="F53" s="1">
        <f t="shared" si="6"/>
        <v>0.006279572256974076</v>
      </c>
      <c r="G53" s="1"/>
      <c r="H53" s="1"/>
      <c r="I53" s="1"/>
      <c r="J53" s="1"/>
    </row>
    <row r="54" spans="1:10" ht="12.75">
      <c r="A54" s="1">
        <f t="shared" si="7"/>
        <v>0.040014931974468745</v>
      </c>
      <c r="B54" s="1">
        <f t="shared" si="8"/>
        <v>0.017961412435404677</v>
      </c>
      <c r="C54" s="11">
        <f t="shared" si="3"/>
        <v>1.9468500505044435</v>
      </c>
      <c r="D54" s="6">
        <f t="shared" si="4"/>
        <v>469.65099908905006</v>
      </c>
      <c r="E54" s="1">
        <f t="shared" si="5"/>
        <v>0.017032444255843895</v>
      </c>
      <c r="F54" s="1">
        <f t="shared" si="6"/>
        <v>0.007381787672940386</v>
      </c>
      <c r="G54" s="1"/>
      <c r="H54" s="1"/>
      <c r="I54" s="1"/>
      <c r="J54" s="1"/>
    </row>
    <row r="55" spans="1:10" ht="12.75">
      <c r="A55" s="1">
        <f t="shared" si="7"/>
        <v>0.04739671964740913</v>
      </c>
      <c r="B55" s="1">
        <f t="shared" si="8"/>
        <v>0.017835682548356845</v>
      </c>
      <c r="C55" s="11">
        <f t="shared" si="3"/>
        <v>1.9442847143045419</v>
      </c>
      <c r="D55" s="6">
        <f t="shared" si="4"/>
        <v>467.3876513144977</v>
      </c>
      <c r="E55" s="1">
        <f t="shared" si="5"/>
        <v>0.014404171730392792</v>
      </c>
      <c r="F55" s="1">
        <f t="shared" si="6"/>
        <v>0.00866761242335545</v>
      </c>
      <c r="G55" s="1"/>
      <c r="H55" s="1"/>
      <c r="I55" s="1"/>
      <c r="J55" s="1"/>
    </row>
    <row r="56" spans="1:10" ht="12.75">
      <c r="A56" s="1">
        <f t="shared" si="7"/>
        <v>0.05606433207076458</v>
      </c>
      <c r="B56" s="1">
        <f t="shared" si="8"/>
        <v>0.017710832770518346</v>
      </c>
      <c r="C56" s="11">
        <f t="shared" si="3"/>
        <v>1.9417406803643953</v>
      </c>
      <c r="D56" s="6">
        <f t="shared" si="4"/>
        <v>465.1395042555119</v>
      </c>
      <c r="E56" s="1">
        <f t="shared" si="5"/>
        <v>0.012195186768460639</v>
      </c>
      <c r="F56" s="1">
        <f t="shared" si="6"/>
        <v>0.010165963978038978</v>
      </c>
      <c r="G56" s="1"/>
      <c r="H56" s="1"/>
      <c r="I56" s="1"/>
      <c r="J56" s="1"/>
    </row>
    <row r="57" spans="1:10" ht="12.75">
      <c r="A57" s="1">
        <f t="shared" si="7"/>
        <v>0.06623029604880357</v>
      </c>
      <c r="B57" s="1">
        <f t="shared" si="8"/>
        <v>0.017586856941124718</v>
      </c>
      <c r="C57" s="11">
        <f t="shared" si="3"/>
        <v>1.9392177485876763</v>
      </c>
      <c r="D57" s="6">
        <f t="shared" si="4"/>
        <v>462.90641348760255</v>
      </c>
      <c r="E57" s="1">
        <f t="shared" si="5"/>
        <v>0.010336483786482862</v>
      </c>
      <c r="F57" s="1">
        <f t="shared" si="6"/>
        <v>0.01191004611731339</v>
      </c>
      <c r="G57" s="1"/>
      <c r="H57" s="1"/>
      <c r="I57" s="1"/>
      <c r="J57" s="1"/>
    </row>
    <row r="58" spans="1:10" ht="12.75">
      <c r="A58" s="1">
        <f t="shared" si="7"/>
        <v>0.07814034216611696</v>
      </c>
      <c r="B58" s="1">
        <f t="shared" si="8"/>
        <v>0.017463748942536845</v>
      </c>
      <c r="C58" s="11">
        <f t="shared" si="3"/>
        <v>1.9367157210854682</v>
      </c>
      <c r="D58" s="6">
        <f t="shared" si="4"/>
        <v>460.68823633491127</v>
      </c>
      <c r="E58" s="1">
        <f t="shared" si="5"/>
        <v>0.00877075172734386</v>
      </c>
      <c r="F58" s="1">
        <f t="shared" si="6"/>
        <v>0.013937943564933063</v>
      </c>
      <c r="G58" s="1"/>
      <c r="H58" s="1"/>
      <c r="I58" s="1"/>
      <c r="J58" s="1"/>
    </row>
    <row r="59" spans="1:6" ht="12.75">
      <c r="A59" s="1">
        <f t="shared" si="7"/>
        <v>0.09207828573105002</v>
      </c>
      <c r="B59" s="1">
        <f t="shared" si="8"/>
        <v>0.017341502699939088</v>
      </c>
      <c r="C59" s="11">
        <f t="shared" si="3"/>
        <v>1.934234402147407</v>
      </c>
      <c r="D59" s="6">
        <f t="shared" si="4"/>
        <v>458.48483184537974</v>
      </c>
      <c r="E59" s="1">
        <f t="shared" si="5"/>
        <v>0.007450336572282385</v>
      </c>
      <c r="F59" s="1">
        <f t="shared" si="6"/>
        <v>0.016293293292437935</v>
      </c>
    </row>
    <row r="60" spans="1:6" ht="12.75">
      <c r="A60" s="1">
        <f t="shared" si="7"/>
        <v>0.10837157902348796</v>
      </c>
      <c r="B60" s="1">
        <f t="shared" si="8"/>
        <v>0.017220112181039512</v>
      </c>
      <c r="C60" s="11">
        <f t="shared" si="3"/>
        <v>1.9317735982132613</v>
      </c>
      <c r="D60" s="6">
        <f t="shared" si="4"/>
        <v>456.2960607663181</v>
      </c>
      <c r="E60" s="1">
        <f t="shared" si="5"/>
        <v>0.006335568259281738</v>
      </c>
      <c r="F60" s="1">
        <f t="shared" si="6"/>
        <v>0.019026041601032686</v>
      </c>
    </row>
    <row r="61" spans="1:6" ht="12.75">
      <c r="A61" s="1">
        <f t="shared" si="7"/>
        <v>0.12739762062452065</v>
      </c>
      <c r="B61" s="1">
        <f t="shared" si="8"/>
        <v>0.017099571395772235</v>
      </c>
      <c r="C61" s="11">
        <f t="shared" si="3"/>
        <v>1.9293331178449469</v>
      </c>
      <c r="D61" s="6">
        <f t="shared" si="4"/>
        <v>454.1217855203673</v>
      </c>
      <c r="E61" s="1">
        <f t="shared" si="5"/>
        <v>0.005393385191298965</v>
      </c>
      <c r="F61" s="1">
        <f t="shared" si="6"/>
        <v>0.022193297071292126</v>
      </c>
    </row>
    <row r="62" spans="1:6" ht="12.75">
      <c r="A62" s="1">
        <f t="shared" si="7"/>
        <v>0.1495909176958128</v>
      </c>
      <c r="B62" s="1">
        <f t="shared" si="8"/>
        <v>0.01697987439600183</v>
      </c>
      <c r="C62" s="11">
        <f t="shared" si="3"/>
        <v>1.9269127716989571</v>
      </c>
      <c r="D62" s="6">
        <f t="shared" si="4"/>
        <v>451.9618701818442</v>
      </c>
      <c r="E62" s="1">
        <f t="shared" si="5"/>
        <v>0.0045962020627963555</v>
      </c>
      <c r="F62" s="1">
        <f t="shared" si="6"/>
        <v>0.025860290550345874</v>
      </c>
    </row>
    <row r="63" spans="1:6" ht="12.75">
      <c r="A63" s="1">
        <f t="shared" si="7"/>
        <v>0.17545120824615867</v>
      </c>
      <c r="B63" s="1">
        <f t="shared" si="8"/>
        <v>0.016861015275229818</v>
      </c>
      <c r="C63" s="11">
        <f t="shared" si="3"/>
        <v>1.9245123724992188</v>
      </c>
      <c r="D63" s="6">
        <f t="shared" si="4"/>
        <v>449.8161804534686</v>
      </c>
      <c r="E63" s="1">
        <f t="shared" si="5"/>
        <v>0.003920976868881675</v>
      </c>
      <c r="F63" s="1">
        <f t="shared" si="6"/>
        <v>0.030101454528670035</v>
      </c>
    </row>
    <row r="64" spans="1:6" ht="12.75">
      <c r="A64" s="1">
        <f t="shared" si="7"/>
        <v>0.2055526627748287</v>
      </c>
      <c r="B64" s="1">
        <f t="shared" si="8"/>
        <v>0.01674298816830321</v>
      </c>
      <c r="C64" s="11">
        <f t="shared" si="3"/>
        <v>1.9221317350103515</v>
      </c>
      <c r="D64" s="6">
        <f t="shared" si="4"/>
        <v>447.68458364346014</v>
      </c>
      <c r="E64" s="1">
        <f t="shared" si="5"/>
        <v>0.003348441160732992</v>
      </c>
      <c r="F64" s="1">
        <f t="shared" si="6"/>
        <v>0.035001635552845294</v>
      </c>
    </row>
    <row r="65" spans="1:6" ht="12.75">
      <c r="A65" s="1">
        <f t="shared" si="7"/>
        <v>0.240554298327674</v>
      </c>
      <c r="B65" s="1">
        <f t="shared" si="8"/>
        <v>0.016625787251125086</v>
      </c>
      <c r="C65" s="11">
        <f t="shared" si="3"/>
        <v>1.9197706760113302</v>
      </c>
      <c r="D65" s="6">
        <f t="shared" si="4"/>
        <v>445.5669486430013</v>
      </c>
      <c r="E65" s="1">
        <f t="shared" si="5"/>
        <v>0.0028624642519904523</v>
      </c>
      <c r="F65" s="1">
        <f t="shared" si="6"/>
        <v>0.04065745473570504</v>
      </c>
    </row>
    <row r="66" spans="1:6" ht="12.75">
      <c r="A66" s="1">
        <f t="shared" si="7"/>
        <v>0.28121175306337903</v>
      </c>
      <c r="B66" s="1">
        <f t="shared" si="8"/>
        <v>0.01650940674036721</v>
      </c>
      <c r="C66" s="11">
        <f t="shared" si="3"/>
        <v>1.9174290142695452</v>
      </c>
      <c r="D66" s="6">
        <f t="shared" si="4"/>
        <v>443.4631459040589</v>
      </c>
      <c r="E66" s="1">
        <f t="shared" si="5"/>
        <v>0.002449527466131209</v>
      </c>
      <c r="F66" s="1">
        <f t="shared" si="6"/>
        <v>0.047178832971036457</v>
      </c>
    </row>
    <row r="67" spans="1:6" ht="12.75">
      <c r="A67" s="1">
        <f t="shared" si="7"/>
        <v>0.3283905860344155</v>
      </c>
      <c r="B67" s="1">
        <f t="shared" si="8"/>
        <v>0.016393840893184637</v>
      </c>
      <c r="C67" s="11">
        <f t="shared" si="3"/>
        <v>1.9151065705152477</v>
      </c>
      <c r="D67" s="6">
        <f t="shared" si="4"/>
        <v>441.3730474175584</v>
      </c>
      <c r="E67" s="1">
        <f t="shared" si="5"/>
        <v>0.0020982888871887108</v>
      </c>
      <c r="F67" s="1">
        <f t="shared" si="6"/>
        <v>0.0546906991467909</v>
      </c>
    </row>
    <row r="68" spans="1:6" ht="12.75">
      <c r="A68" s="1">
        <f t="shared" si="7"/>
        <v>0.38308128518120643</v>
      </c>
      <c r="B68" s="1">
        <f t="shared" si="8"/>
        <v>0.016279084006932346</v>
      </c>
      <c r="C68" s="11">
        <f t="shared" si="3"/>
        <v>1.912803167416382</v>
      </c>
      <c r="D68" s="6">
        <f t="shared" si="4"/>
        <v>439.29652669190426</v>
      </c>
      <c r="E68" s="1">
        <f t="shared" si="5"/>
        <v>0.001799222630305919</v>
      </c>
      <c r="F68" s="1">
        <f t="shared" si="6"/>
        <v>0.06333490148973453</v>
      </c>
    </row>
    <row r="69" spans="1:6" ht="12.75">
      <c r="A69" s="1">
        <f t="shared" si="7"/>
        <v>0.44641618667094096</v>
      </c>
      <c r="B69" s="1">
        <f t="shared" si="8"/>
        <v>0.01616513041888382</v>
      </c>
      <c r="C69" s="11">
        <f t="shared" si="3"/>
        <v>1.9105186295537868</v>
      </c>
      <c r="D69" s="6">
        <f t="shared" si="4"/>
        <v>437.2334587318395</v>
      </c>
      <c r="E69" s="1">
        <f t="shared" si="5"/>
        <v>0.001544319541055992</v>
      </c>
      <c r="F69" s="1">
        <f t="shared" si="6"/>
        <v>0.07327234417743088</v>
      </c>
    </row>
    <row r="70" spans="1:6" ht="12.75">
      <c r="A70" s="1">
        <f t="shared" si="7"/>
        <v>0.5196885308483719</v>
      </c>
      <c r="B70" s="1">
        <f t="shared" si="8"/>
        <v>0.01605197450595163</v>
      </c>
      <c r="C70" s="11">
        <f t="shared" si="3"/>
        <v>1.908252783396772</v>
      </c>
      <c r="D70" s="6">
        <f t="shared" si="4"/>
        <v>435.18372001764016</v>
      </c>
      <c r="E70" s="1">
        <f t="shared" si="5"/>
        <v>0.0013268385891685554</v>
      </c>
      <c r="F70" s="1">
        <f t="shared" si="6"/>
        <v>0.0846853735329424</v>
      </c>
    </row>
    <row r="71" spans="1:6" ht="12.75">
      <c r="A71" s="1">
        <f t="shared" si="7"/>
        <v>0.6043739043813142</v>
      </c>
      <c r="B71" s="1">
        <f t="shared" si="8"/>
        <v>0.01593961068440997</v>
      </c>
      <c r="C71" s="11">
        <f t="shared" si="3"/>
        <v>1.9060054572790555</v>
      </c>
      <c r="D71" s="6">
        <f t="shared" si="4"/>
        <v>433.14718848463855</v>
      </c>
      <c r="E71" s="1">
        <f t="shared" si="5"/>
        <v>0.0011411001447234372</v>
      </c>
      <c r="F71" s="1">
        <f t="shared" si="6"/>
        <v>0.09778044048702862</v>
      </c>
    </row>
    <row r="72" spans="1:6" ht="12.75">
      <c r="A72" s="1">
        <f t="shared" si="7"/>
        <v>0.7021543448683428</v>
      </c>
      <c r="B72" s="1">
        <f t="shared" si="8"/>
        <v>0.0158280334096191</v>
      </c>
      <c r="C72" s="11">
        <f t="shared" si="3"/>
        <v>1.9037764813750582</v>
      </c>
      <c r="D72" s="6">
        <f t="shared" si="4"/>
        <v>431.1237435030668</v>
      </c>
      <c r="E72" s="1">
        <f t="shared" si="5"/>
        <v>0.0009823138948493071</v>
      </c>
      <c r="F72" s="1">
        <f t="shared" si="6"/>
        <v>0.11279106856605191</v>
      </c>
    </row>
    <row r="73" spans="1:6" ht="12.75">
      <c r="A73" s="1">
        <f t="shared" si="7"/>
        <v>0.8149454134343947</v>
      </c>
      <c r="B73" s="1">
        <f t="shared" si="8"/>
        <v>0.015717237175751766</v>
      </c>
      <c r="C73" s="11">
        <f t="shared" si="3"/>
        <v>1.9015656876765459</v>
      </c>
      <c r="D73" s="6">
        <f t="shared" si="4"/>
        <v>429.11326585821837</v>
      </c>
      <c r="E73" s="1">
        <f t="shared" si="5"/>
        <v>0.0008464354425715199</v>
      </c>
      <c r="F73" s="1">
        <f t="shared" si="6"/>
        <v>0.1299811594561934</v>
      </c>
    </row>
    <row r="74" spans="1:6" ht="12.75">
      <c r="A74" s="1">
        <f t="shared" si="7"/>
        <v>0.9449265728905881</v>
      </c>
      <c r="B74" s="1">
        <f t="shared" si="8"/>
        <v>0.015607216515521504</v>
      </c>
      <c r="C74" s="11">
        <f t="shared" si="3"/>
        <v>1.8993729099696248</v>
      </c>
      <c r="D74" s="6">
        <f t="shared" si="4"/>
        <v>427.1156377309212</v>
      </c>
      <c r="E74" s="1">
        <f t="shared" si="5"/>
        <v>0.0007300466801114833</v>
      </c>
      <c r="F74" s="1">
        <f t="shared" si="6"/>
        <v>0.14964867122191036</v>
      </c>
    </row>
    <row r="75" spans="1:6" ht="12.75">
      <c r="A75" s="1">
        <f t="shared" si="7"/>
        <v>1.0945752441124985</v>
      </c>
      <c r="B75" s="1">
        <f t="shared" si="8"/>
        <v>0.015497965999912853</v>
      </c>
      <c r="C75" s="11">
        <f t="shared" si="3"/>
        <v>1.8971979838120665</v>
      </c>
      <c r="D75" s="6">
        <f t="shared" si="4"/>
        <v>425.13074267831496</v>
      </c>
      <c r="E75" s="1">
        <f t="shared" si="5"/>
        <v>0.000630255889890392</v>
      </c>
      <c r="F75" s="1">
        <f t="shared" si="6"/>
        <v>0.1721297075355484</v>
      </c>
    </row>
    <row r="76" spans="1:6" ht="12.75">
      <c r="A76" s="1">
        <f t="shared" si="7"/>
        <v>1.2667049516480469</v>
      </c>
      <c r="B76" s="1">
        <f t="shared" si="8"/>
        <v>0.015389480237913464</v>
      </c>
      <c r="C76" s="11">
        <f t="shared" si="3"/>
        <v>1.8950407465109727</v>
      </c>
      <c r="D76" s="6">
        <f t="shared" si="4"/>
        <v>423.15846561492964</v>
      </c>
      <c r="E76" s="1">
        <f t="shared" si="5"/>
        <v>0.000544614232770806</v>
      </c>
      <c r="F76" s="1">
        <f t="shared" si="6"/>
        <v>0.19780305982331814</v>
      </c>
    </row>
    <row r="77" spans="1:6" ht="12.75">
      <c r="A77" s="1">
        <f t="shared" si="7"/>
        <v>1.4645080114713651</v>
      </c>
      <c r="B77" s="1">
        <f t="shared" si="8"/>
        <v>0.01528175387624807</v>
      </c>
      <c r="C77" s="11">
        <f t="shared" si="3"/>
        <v>1.8929010371007666</v>
      </c>
      <c r="D77" s="6">
        <f t="shared" si="4"/>
        <v>421.19869279405924</v>
      </c>
      <c r="E77" s="1">
        <f t="shared" si="5"/>
        <v>0.00047104586310455827</v>
      </c>
      <c r="F77" s="1">
        <f t="shared" si="6"/>
        <v>0.22709524806927728</v>
      </c>
    </row>
    <row r="78" spans="1:6" ht="12.75">
      <c r="A78" s="1">
        <f t="shared" si="7"/>
        <v>1.6916032595406425</v>
      </c>
      <c r="B78" s="1">
        <f t="shared" si="8"/>
        <v>0.015174781599114333</v>
      </c>
      <c r="C78" s="11">
        <f t="shared" si="3"/>
        <v>1.8907786963215063</v>
      </c>
      <c r="D78" s="6">
        <f t="shared" si="4"/>
        <v>419.2513117894247</v>
      </c>
      <c r="E78" s="1">
        <f t="shared" si="5"/>
        <v>0.0004077893870320588</v>
      </c>
      <c r="F78" s="1">
        <f t="shared" si="6"/>
        <v>0.2604861101631599</v>
      </c>
    </row>
    <row r="79" spans="1:6" ht="12.75">
      <c r="A79" s="1">
        <f t="shared" si="7"/>
        <v>1.9520893697038024</v>
      </c>
      <c r="B79" s="1">
        <f t="shared" si="8"/>
        <v>0.015068558127920533</v>
      </c>
      <c r="C79" s="11">
        <f t="shared" si="3"/>
        <v>1.8886735665975158</v>
      </c>
      <c r="D79" s="6">
        <f t="shared" si="4"/>
        <v>417.3162114771226</v>
      </c>
      <c r="E79" s="1">
        <f t="shared" si="5"/>
        <v>0.0003533487729673158</v>
      </c>
      <c r="F79" s="1">
        <f t="shared" si="6"/>
        <v>0.29851499415055405</v>
      </c>
    </row>
    <row r="80" spans="1:6" ht="12.75">
      <c r="A80" s="1">
        <f t="shared" si="7"/>
        <v>2.2506043638543565</v>
      </c>
      <c r="B80" s="1">
        <f t="shared" si="8"/>
        <v>0.014963078221025088</v>
      </c>
      <c r="C80" s="11">
        <f t="shared" si="3"/>
        <v>1.8865854920163265</v>
      </c>
      <c r="D80" s="6">
        <f t="shared" si="4"/>
        <v>415.39328201785247</v>
      </c>
      <c r="E80" s="1">
        <f t="shared" si="5"/>
        <v>0.0003064521465845028</v>
      </c>
      <c r="F80" s="1">
        <f t="shared" si="6"/>
        <v>0.3417876125670851</v>
      </c>
    </row>
    <row r="81" spans="1:6" ht="12.75">
      <c r="A81" s="1">
        <f t="shared" si="7"/>
        <v>2.5923919764214416</v>
      </c>
      <c r="B81" s="1">
        <f t="shared" si="8"/>
        <v>0.014858336673477912</v>
      </c>
      <c r="C81" s="11">
        <f t="shared" si="3"/>
        <v>1.8845143183079294</v>
      </c>
      <c r="D81" s="6">
        <f t="shared" si="4"/>
        <v>413.482414839421</v>
      </c>
      <c r="E81" s="1">
        <f t="shared" si="5"/>
        <v>0.0002660171693482102</v>
      </c>
      <c r="F81" s="1">
        <f t="shared" si="6"/>
        <v>0.39098362323448715</v>
      </c>
    </row>
    <row r="82" spans="1:6" ht="12.75">
      <c r="A82" s="1">
        <f t="shared" si="7"/>
        <v>2.9833755996559286</v>
      </c>
      <c r="B82" s="1">
        <f t="shared" si="8"/>
        <v>0.014754328316763567</v>
      </c>
      <c r="C82" s="11">
        <f t="shared" si="3"/>
        <v>1.882459892824324</v>
      </c>
      <c r="D82" s="6">
        <f t="shared" si="4"/>
        <v>411.58350261951455</v>
      </c>
      <c r="E82" s="1">
        <f t="shared" si="5"/>
        <v>0.00023112191985787012</v>
      </c>
      <c r="F82" s="1">
        <f t="shared" si="6"/>
        <v>0.44686500649033134</v>
      </c>
    </row>
    <row r="83" spans="1:6" ht="12.75">
      <c r="A83" s="1">
        <f t="shared" si="7"/>
        <v>3.43024060614626</v>
      </c>
      <c r="B83" s="1">
        <f t="shared" si="8"/>
        <v>0.014651048018546222</v>
      </c>
      <c r="C83" s="11">
        <f t="shared" si="3"/>
        <v>1.8804220645193663</v>
      </c>
      <c r="D83" s="6">
        <f t="shared" si="4"/>
        <v>409.6964392687389</v>
      </c>
      <c r="E83" s="1">
        <f t="shared" si="5"/>
        <v>0.00020098037930429692</v>
      </c>
      <c r="F83" s="1">
        <f t="shared" si="6"/>
        <v>0.5102853148393421</v>
      </c>
    </row>
    <row r="84" spans="1:6" ht="12.75">
      <c r="A84" s="1">
        <f t="shared" si="7"/>
        <v>3.940525920985602</v>
      </c>
      <c r="B84" s="1">
        <f t="shared" si="8"/>
        <v>0.014548490682416398</v>
      </c>
      <c r="C84" s="11">
        <f t="shared" si="3"/>
        <v>1.878400683928911</v>
      </c>
      <c r="D84" s="6">
        <f t="shared" si="4"/>
        <v>407.82111991391935</v>
      </c>
      <c r="E84" s="1">
        <f t="shared" si="5"/>
        <v>0.00017492177294465598</v>
      </c>
      <c r="F84" s="1">
        <f t="shared" si="6"/>
        <v>0.5821998774797239</v>
      </c>
    </row>
    <row r="85" spans="1:6" ht="12.75">
      <c r="A85" s="1">
        <f t="shared" si="7"/>
        <v>4.522725798465326</v>
      </c>
      <c r="B85" s="1">
        <f t="shared" si="8"/>
        <v>0.014446651247639483</v>
      </c>
      <c r="C85" s="11">
        <f t="shared" si="3"/>
        <v>1.8763956031512357</v>
      </c>
      <c r="D85" s="6">
        <f t="shared" si="4"/>
        <v>405.9574408816574</v>
      </c>
      <c r="E85" s="1">
        <f t="shared" si="5"/>
        <v>0.0001523731442433021</v>
      </c>
      <c r="F85" s="1">
        <f t="shared" si="6"/>
        <v>0.6636770490999541</v>
      </c>
    </row>
    <row r="86" spans="1:6" ht="12.75">
      <c r="A86" s="1">
        <f t="shared" si="7"/>
        <v>5.18640284756528</v>
      </c>
      <c r="B86" s="1">
        <f t="shared" si="8"/>
        <v>0.014345524688906007</v>
      </c>
      <c r="C86" s="11">
        <f t="shared" si="3"/>
        <v>1.8744066758277511</v>
      </c>
      <c r="D86" s="6">
        <f t="shared" si="4"/>
        <v>404.10529968213973</v>
      </c>
      <c r="E86" s="1">
        <f t="shared" si="5"/>
        <v>0.00013284464174776625</v>
      </c>
      <c r="F86" s="1">
        <f t="shared" si="6"/>
        <v>0.7559105997892502</v>
      </c>
    </row>
    <row r="87" spans="1:6" ht="12.75">
      <c r="A87" s="1">
        <f t="shared" si="7"/>
        <v>5.942313447354531</v>
      </c>
      <c r="B87" s="1">
        <f t="shared" si="8"/>
        <v>0.014245106016083664</v>
      </c>
      <c r="C87" s="11">
        <f t="shared" si="3"/>
        <v>1.8724337571239884</v>
      </c>
      <c r="D87" s="6">
        <f t="shared" si="4"/>
        <v>402.2645949931951</v>
      </c>
      <c r="E87" s="1">
        <f t="shared" si="5"/>
        <v>0.00011591708460222196</v>
      </c>
      <c r="F87" s="1">
        <f t="shared" si="6"/>
        <v>0.860233350888418</v>
      </c>
    </row>
    <row r="88" spans="1:6" ht="12.75">
      <c r="A88" s="1">
        <f t="shared" si="7"/>
        <v>6.802546798242949</v>
      </c>
      <c r="B88" s="1">
        <f t="shared" si="8"/>
        <v>0.01414539027397108</v>
      </c>
      <c r="C88" s="11">
        <f t="shared" si="3"/>
        <v>1.8704767037108583</v>
      </c>
      <c r="D88" s="6">
        <f t="shared" si="4"/>
        <v>400.43522664459454</v>
      </c>
      <c r="E88" s="1">
        <f t="shared" si="5"/>
        <v>0.00010123144390775111</v>
      </c>
      <c r="F88" s="1">
        <f t="shared" si="6"/>
        <v>0.9781321701588013</v>
      </c>
    </row>
    <row r="89" spans="1:6" ht="12.75">
      <c r="A89" s="1">
        <f t="shared" si="7"/>
        <v>7.78067896840175</v>
      </c>
      <c r="B89" s="1">
        <f t="shared" si="8"/>
        <v>0.014046372542053282</v>
      </c>
      <c r="C89" s="11">
        <f t="shared" si="3"/>
        <v>1.8685353737461805</v>
      </c>
      <c r="D89" s="6">
        <f t="shared" si="4"/>
        <v>398.6170956025915</v>
      </c>
      <c r="E89" s="1">
        <f t="shared" si="5"/>
        <v>8.847993643703179E-05</v>
      </c>
      <c r="F89" s="1">
        <f t="shared" si="6"/>
        <v>1.1112644487979182</v>
      </c>
    </row>
    <row r="90" spans="1:6" ht="12.75">
      <c r="A90" s="1">
        <f t="shared" si="7"/>
        <v>8.891943417199668</v>
      </c>
      <c r="B90" s="1">
        <f t="shared" si="8"/>
        <v>0.01394804793425891</v>
      </c>
      <c r="C90" s="11">
        <f t="shared" si="3"/>
        <v>1.8666096268564762</v>
      </c>
      <c r="D90" s="6">
        <f t="shared" si="4"/>
        <v>396.8101039546968</v>
      </c>
      <c r="E90" s="1">
        <f t="shared" si="5"/>
        <v>7.73984765715983E-05</v>
      </c>
      <c r="F90" s="1">
        <f t="shared" si="6"/>
        <v>1.2614761926159208</v>
      </c>
    </row>
    <row r="91" spans="1:6" ht="12.75">
      <c r="A91" s="1">
        <f t="shared" si="7"/>
        <v>10.15341960981559</v>
      </c>
      <c r="B91" s="1">
        <f t="shared" si="8"/>
        <v>0.013850411598719097</v>
      </c>
      <c r="C91" s="11">
        <f t="shared" si="3"/>
        <v>1.8646993241190226</v>
      </c>
      <c r="D91" s="6">
        <f t="shared" si="4"/>
        <v>395.01415489468565</v>
      </c>
      <c r="E91" s="1">
        <f t="shared" si="5"/>
        <v>6.776027345836811E-05</v>
      </c>
      <c r="F91" s="1">
        <f t="shared" si="6"/>
        <v>1.430821870141972</v>
      </c>
    </row>
    <row r="92" spans="1:6" ht="12.75">
      <c r="A92" s="1">
        <f t="shared" si="7"/>
        <v>11.584241479957562</v>
      </c>
      <c r="B92" s="1">
        <f t="shared" si="8"/>
        <v>0.013753458717528063</v>
      </c>
      <c r="C92" s="11">
        <f aca="true" t="shared" si="9" ref="C92:C155">1.6126*EXP(2.6218*B92/t)</f>
        <v>1.8628043280441595</v>
      </c>
      <c r="D92" s="6">
        <f aca="true" t="shared" si="10" ref="D92:D155">C92*$I$3*SQRT(B92)</f>
        <v>393.229152707831</v>
      </c>
      <c r="E92" s="1">
        <f t="shared" si="5"/>
        <v>5.9370394684720645E-05</v>
      </c>
      <c r="F92" s="1">
        <f t="shared" si="6"/>
        <v>1.6215861715919033</v>
      </c>
    </row>
    <row r="93" spans="1:6" ht="12.75">
      <c r="A93" s="1">
        <f t="shared" si="7"/>
        <v>13.205827651549466</v>
      </c>
      <c r="B93" s="1">
        <f t="shared" si="8"/>
        <v>0.013657184506505366</v>
      </c>
      <c r="C93" s="11">
        <f t="shared" si="9"/>
        <v>1.8609245025578518</v>
      </c>
      <c r="D93" s="6">
        <f t="shared" si="10"/>
        <v>391.45500275636186</v>
      </c>
      <c r="E93" s="1">
        <f aca="true" t="shared" si="11" ref="E93:E156">39.37*EXP((D93-$C$8)/$E$8)</f>
        <v>5.2061146408570206E-05</v>
      </c>
      <c r="F93" s="1">
        <f aca="true" t="shared" si="12" ref="F93:F156">$F$25*B93/E93</f>
        <v>1.8363078445349033</v>
      </c>
    </row>
    <row r="94" spans="1:6" ht="12.75">
      <c r="A94" s="1">
        <f aca="true" t="shared" si="13" ref="A94:A157">A93+F93</f>
        <v>15.04213549608437</v>
      </c>
      <c r="B94" s="1">
        <f aca="true" t="shared" si="14" ref="B94:B157">B93-(A94-A93)*E93</f>
        <v>0.01356158421495983</v>
      </c>
      <c r="C94" s="11">
        <f t="shared" si="9"/>
        <v>1.8590597129844961</v>
      </c>
      <c r="D94" s="6">
        <f t="shared" si="10"/>
        <v>389.69161146514006</v>
      </c>
      <c r="E94" s="1">
        <f t="shared" si="11"/>
        <v>4.568814381001057E-05</v>
      </c>
      <c r="F94" s="1">
        <f t="shared" si="12"/>
        <v>2.0778057847891556</v>
      </c>
    </row>
    <row r="95" spans="1:6" ht="12.75">
      <c r="A95" s="1">
        <f t="shared" si="13"/>
        <v>17.119941280873526</v>
      </c>
      <c r="B95" s="1">
        <f t="shared" si="14"/>
        <v>0.01346665312545511</v>
      </c>
      <c r="C95" s="11">
        <f t="shared" si="9"/>
        <v>1.8572098260299745</v>
      </c>
      <c r="D95" s="6">
        <f t="shared" si="10"/>
        <v>387.9388863075541</v>
      </c>
      <c r="E95" s="1">
        <f t="shared" si="11"/>
        <v>4.012696574695437E-05</v>
      </c>
      <c r="F95" s="1">
        <f t="shared" si="12"/>
        <v>2.349207574593167</v>
      </c>
    </row>
    <row r="96" spans="1:6" ht="12.75">
      <c r="A96" s="1">
        <f t="shared" si="13"/>
        <v>19.469148855466692</v>
      </c>
      <c r="B96" s="1">
        <f t="shared" si="14"/>
        <v>0.013372386553576924</v>
      </c>
      <c r="C96" s="11">
        <f t="shared" si="9"/>
        <v>1.8553747097649445</v>
      </c>
      <c r="D96" s="6">
        <f t="shared" si="10"/>
        <v>386.1967357916251</v>
      </c>
      <c r="E96" s="1">
        <f t="shared" si="11"/>
        <v>3.527030425464229E-05</v>
      </c>
      <c r="F96" s="1">
        <f t="shared" si="12"/>
        <v>2.653980674485333</v>
      </c>
    </row>
    <row r="97" spans="1:6" ht="12.75">
      <c r="A97" s="1">
        <f t="shared" si="13"/>
        <v>22.123129529952024</v>
      </c>
      <c r="B97" s="1">
        <f t="shared" si="14"/>
        <v>0.013278779847701885</v>
      </c>
      <c r="C97" s="11">
        <f t="shared" si="9"/>
        <v>1.8535542336083664</v>
      </c>
      <c r="D97" s="6">
        <f t="shared" si="10"/>
        <v>384.4650694463215</v>
      </c>
      <c r="E97" s="1">
        <f t="shared" si="11"/>
        <v>3.1025533571513844E-05</v>
      </c>
      <c r="F97" s="1">
        <f t="shared" si="12"/>
        <v>2.995966490621672</v>
      </c>
    </row>
    <row r="98" spans="1:6" ht="12.75">
      <c r="A98" s="1">
        <f t="shared" si="13"/>
        <v>25.119096020573696</v>
      </c>
      <c r="B98" s="1">
        <f t="shared" si="14"/>
        <v>0.013185828388767973</v>
      </c>
      <c r="C98" s="11">
        <f t="shared" si="9"/>
        <v>1.8517482683112625</v>
      </c>
      <c r="D98" s="6">
        <f t="shared" si="10"/>
        <v>382.74379780807885</v>
      </c>
      <c r="E98" s="1">
        <f t="shared" si="11"/>
        <v>2.7312635152379153E-05</v>
      </c>
      <c r="F98" s="1">
        <f t="shared" si="12"/>
        <v>3.379417555516816</v>
      </c>
    </row>
    <row r="99" spans="1:6" ht="12.75">
      <c r="A99" s="1">
        <f t="shared" si="13"/>
        <v>28.498513576090513</v>
      </c>
      <c r="B99" s="1">
        <f t="shared" si="14"/>
        <v>0.013093527590046597</v>
      </c>
      <c r="C99" s="11">
        <f t="shared" si="9"/>
        <v>1.8499566859407066</v>
      </c>
      <c r="D99" s="6">
        <f t="shared" si="10"/>
        <v>381.0328324075225</v>
      </c>
      <c r="E99" s="1">
        <f t="shared" si="11"/>
        <v>2.4062425018246733E-05</v>
      </c>
      <c r="F99" s="1">
        <f t="shared" si="12"/>
        <v>3.809038077451615</v>
      </c>
    </row>
    <row r="100" spans="1:6" ht="12.75">
      <c r="A100" s="1">
        <f t="shared" si="13"/>
        <v>32.30755165354213</v>
      </c>
      <c r="B100" s="1">
        <f t="shared" si="14"/>
        <v>0.013001872896916272</v>
      </c>
      <c r="C100" s="11">
        <f t="shared" si="9"/>
        <v>1.848179359864033</v>
      </c>
      <c r="D100" s="6">
        <f t="shared" si="10"/>
        <v>379.3320857563876</v>
      </c>
      <c r="E100" s="1">
        <f t="shared" si="11"/>
        <v>2.1215038101350047E-05</v>
      </c>
      <c r="F100" s="1">
        <f t="shared" si="12"/>
        <v>4.290028132102302</v>
      </c>
    </row>
    <row r="101" spans="1:6" ht="12.75">
      <c r="A101" s="1">
        <f t="shared" si="13"/>
        <v>36.59757978564443</v>
      </c>
      <c r="B101" s="1">
        <f t="shared" si="14"/>
        <v>0.012910859786637858</v>
      </c>
      <c r="C101" s="11">
        <f t="shared" si="9"/>
        <v>1.846416164733273</v>
      </c>
      <c r="D101" s="6">
        <f t="shared" si="10"/>
        <v>377.64147133463524</v>
      </c>
      <c r="E101" s="1">
        <f t="shared" si="11"/>
        <v>1.8718631232411335E-05</v>
      </c>
      <c r="F101" s="1">
        <f t="shared" si="12"/>
        <v>4.828131789357482</v>
      </c>
    </row>
    <row r="102" spans="1:6" ht="12.75">
      <c r="A102" s="1">
        <f t="shared" si="13"/>
        <v>41.42571157500191</v>
      </c>
      <c r="B102" s="1">
        <f t="shared" si="14"/>
        <v>0.012820483768131392</v>
      </c>
      <c r="C102" s="11">
        <f t="shared" si="9"/>
        <v>1.8446669764698038</v>
      </c>
      <c r="D102" s="6">
        <f t="shared" si="10"/>
        <v>375.9609035777602</v>
      </c>
      <c r="E102" s="1">
        <f t="shared" si="11"/>
        <v>1.6528272300127516E-05</v>
      </c>
      <c r="F102" s="1">
        <f t="shared" si="12"/>
        <v>5.42968948885404</v>
      </c>
    </row>
    <row r="103" spans="1:6" ht="12.75">
      <c r="A103" s="1">
        <f t="shared" si="13"/>
        <v>46.85540106385595</v>
      </c>
      <c r="B103" s="1">
        <f t="shared" si="14"/>
        <v>0.012730740381754473</v>
      </c>
      <c r="C103" s="11">
        <f t="shared" si="9"/>
        <v>1.842931672249214</v>
      </c>
      <c r="D103" s="6">
        <f t="shared" si="10"/>
        <v>374.29029786428697</v>
      </c>
      <c r="E103" s="1">
        <f t="shared" si="11"/>
        <v>1.4604988069566274E-05</v>
      </c>
      <c r="F103" s="1">
        <f t="shared" si="12"/>
        <v>6.101694999530922</v>
      </c>
    </row>
    <row r="104" spans="1:6" ht="12.75">
      <c r="A104" s="1">
        <f t="shared" si="13"/>
        <v>52.95709606338687</v>
      </c>
      <c r="B104" s="1">
        <f t="shared" si="14"/>
        <v>0.012641625199082192</v>
      </c>
      <c r="C104" s="11">
        <f t="shared" si="9"/>
        <v>1.8412101304863802</v>
      </c>
      <c r="D104" s="6">
        <f t="shared" si="10"/>
        <v>372.6295705034528</v>
      </c>
      <c r="E104" s="1">
        <f t="shared" si="11"/>
        <v>1.2914947326118766E-05</v>
      </c>
      <c r="F104" s="1">
        <f t="shared" si="12"/>
        <v>6.8518573215249035</v>
      </c>
    </row>
    <row r="105" spans="1:6" ht="12.75">
      <c r="A105" s="1">
        <f t="shared" si="13"/>
        <v>59.808953384911774</v>
      </c>
      <c r="B105" s="1">
        <f t="shared" si="14"/>
        <v>0.012553133822688616</v>
      </c>
      <c r="C105" s="11">
        <f t="shared" si="9"/>
        <v>1.8395022308207496</v>
      </c>
      <c r="D105" s="6">
        <f t="shared" si="10"/>
        <v>370.9786387230716</v>
      </c>
      <c r="E105" s="1">
        <f t="shared" si="11"/>
        <v>1.1428759539664643E-05</v>
      </c>
      <c r="F105" s="1">
        <f t="shared" si="12"/>
        <v>7.68866791307071</v>
      </c>
    </row>
    <row r="106" spans="1:6" ht="12.75">
      <c r="A106" s="1">
        <f t="shared" si="13"/>
        <v>67.49762129798249</v>
      </c>
      <c r="B106" s="1">
        <f t="shared" si="14"/>
        <v>0.012465261885929797</v>
      </c>
      <c r="C106" s="11">
        <f t="shared" si="9"/>
        <v>1.837807854101826</v>
      </c>
      <c r="D106" s="6">
        <f t="shared" si="10"/>
        <v>369.33742065757826</v>
      </c>
      <c r="E106" s="1">
        <f t="shared" si="11"/>
        <v>1.0120872223937908E-05</v>
      </c>
      <c r="F106" s="1">
        <f t="shared" si="12"/>
        <v>8.621473650771772</v>
      </c>
    </row>
    <row r="107" spans="1:6" ht="12.75">
      <c r="A107" s="1">
        <f t="shared" si="13"/>
        <v>76.11909494875427</v>
      </c>
      <c r="B107" s="1">
        <f t="shared" si="14"/>
        <v>0.012378005052728288</v>
      </c>
      <c r="C107" s="11">
        <f t="shared" si="9"/>
        <v>1.8361268823748593</v>
      </c>
      <c r="D107" s="6">
        <f t="shared" si="10"/>
        <v>367.7058353362499</v>
      </c>
      <c r="E107" s="1">
        <f t="shared" si="11"/>
        <v>8.969052685910613E-06</v>
      </c>
      <c r="F107" s="1">
        <f t="shared" si="12"/>
        <v>9.660555958736794</v>
      </c>
    </row>
    <row r="108" spans="1:6" ht="12.75">
      <c r="A108" s="1">
        <f t="shared" si="13"/>
        <v>85.77965090749106</v>
      </c>
      <c r="B108" s="1">
        <f t="shared" si="14"/>
        <v>0.01229135901735919</v>
      </c>
      <c r="C108" s="11">
        <f t="shared" si="9"/>
        <v>1.8344591988667314</v>
      </c>
      <c r="D108" s="6">
        <f t="shared" si="10"/>
        <v>366.08380267159976</v>
      </c>
      <c r="E108" s="1">
        <f t="shared" si="11"/>
        <v>7.953941992308917E-06</v>
      </c>
      <c r="F108" s="1">
        <f t="shared" si="12"/>
        <v>10.817216570690412</v>
      </c>
    </row>
    <row r="109" spans="1:6" ht="12.75">
      <c r="A109" s="1">
        <f t="shared" si="13"/>
        <v>96.59686747818148</v>
      </c>
      <c r="B109" s="1">
        <f t="shared" si="14"/>
        <v>0.012205319504237677</v>
      </c>
      <c r="C109" s="11">
        <f t="shared" si="9"/>
        <v>1.832804687972035</v>
      </c>
      <c r="D109" s="6">
        <f t="shared" si="10"/>
        <v>364.47124344794264</v>
      </c>
      <c r="E109" s="1">
        <f t="shared" si="11"/>
        <v>7.058670786272814E-06</v>
      </c>
      <c r="F109" s="1">
        <f t="shared" si="12"/>
        <v>12.10387041931688</v>
      </c>
    </row>
    <row r="110" spans="1:6" ht="12.75">
      <c r="A110" s="1">
        <f t="shared" si="13"/>
        <v>108.70073789749836</v>
      </c>
      <c r="B110" s="1">
        <f t="shared" si="14"/>
        <v>0.012119882267708014</v>
      </c>
      <c r="C110" s="11">
        <f t="shared" si="9"/>
        <v>1.8311632352393465</v>
      </c>
      <c r="D110" s="6">
        <f t="shared" si="10"/>
        <v>362.8680793101281</v>
      </c>
      <c r="E110" s="1">
        <f t="shared" si="11"/>
        <v>6.26852811790455E-06</v>
      </c>
      <c r="F110" s="1">
        <f t="shared" si="12"/>
        <v>13.534146178850708</v>
      </c>
    </row>
    <row r="111" spans="1:6" ht="12.75">
      <c r="A111" s="1">
        <f t="shared" si="13"/>
        <v>122.23488407634906</v>
      </c>
      <c r="B111" s="1">
        <f t="shared" si="14"/>
        <v>0.012035043091834058</v>
      </c>
      <c r="C111" s="11">
        <f t="shared" si="9"/>
        <v>1.8295347273576854</v>
      </c>
      <c r="D111" s="6">
        <f t="shared" si="10"/>
        <v>361.2742327524387</v>
      </c>
      <c r="E111" s="1">
        <f t="shared" si="11"/>
        <v>5.570675751033758E-06</v>
      </c>
      <c r="F111" s="1">
        <f t="shared" si="12"/>
        <v>15.122995020344684</v>
      </c>
    </row>
    <row r="112" spans="1:6" ht="12.75">
      <c r="A112" s="1">
        <f t="shared" si="13"/>
        <v>137.35787909669375</v>
      </c>
      <c r="B112" s="1">
        <f t="shared" si="14"/>
        <v>0.01195079779019122</v>
      </c>
      <c r="C112" s="11">
        <f t="shared" si="9"/>
        <v>1.8279190521431623</v>
      </c>
      <c r="D112" s="6">
        <f t="shared" si="10"/>
        <v>359.68962710765095</v>
      </c>
      <c r="E112" s="1">
        <f t="shared" si="11"/>
        <v>4.953901511076019E-06</v>
      </c>
      <c r="F112" s="1">
        <f t="shared" si="12"/>
        <v>16.886808174183507</v>
      </c>
    </row>
    <row r="113" spans="1:6" ht="12.75">
      <c r="A113" s="1">
        <f t="shared" si="13"/>
        <v>154.24468727087725</v>
      </c>
      <c r="B113" s="1">
        <f t="shared" si="14"/>
        <v>0.011867142205659882</v>
      </c>
      <c r="C113" s="11">
        <f t="shared" si="9"/>
        <v>1.826316098525805</v>
      </c>
      <c r="D113" s="6">
        <f t="shared" si="10"/>
        <v>358.1141865362563</v>
      </c>
      <c r="E113" s="1">
        <f t="shared" si="11"/>
        <v>4.408406175733477E-06</v>
      </c>
      <c r="F113" s="1">
        <f t="shared" si="12"/>
        <v>18.84354393133883</v>
      </c>
    </row>
    <row r="114" spans="1:6" ht="12.75">
      <c r="A114" s="1">
        <f t="shared" si="13"/>
        <v>173.0882312022161</v>
      </c>
      <c r="B114" s="1">
        <f t="shared" si="14"/>
        <v>0.011784072210220263</v>
      </c>
      <c r="C114" s="11">
        <f t="shared" si="9"/>
        <v>1.8247257565365675</v>
      </c>
      <c r="D114" s="6">
        <f t="shared" si="10"/>
        <v>356.54783601583875</v>
      </c>
      <c r="E114" s="1">
        <f t="shared" si="11"/>
        <v>3.925619207027379E-06</v>
      </c>
      <c r="F114" s="1">
        <f t="shared" si="12"/>
        <v>21.01286475363593</v>
      </c>
    </row>
    <row r="115" spans="1:6" ht="12.75">
      <c r="A115" s="1">
        <f t="shared" si="13"/>
        <v>194.10109595585203</v>
      </c>
      <c r="B115" s="1">
        <f t="shared" si="14"/>
        <v>0.011701583704748721</v>
      </c>
      <c r="C115" s="11">
        <f t="shared" si="9"/>
        <v>1.8231479172945175</v>
      </c>
      <c r="D115" s="6">
        <f t="shared" si="10"/>
        <v>354.9905013306081</v>
      </c>
      <c r="E115" s="1">
        <f t="shared" si="11"/>
        <v>3.4980393012675683E-06</v>
      </c>
      <c r="F115" s="1">
        <f t="shared" si="12"/>
        <v>23.41628520398822</v>
      </c>
    </row>
    <row r="116" spans="1:6" ht="12.75">
      <c r="A116" s="1">
        <f t="shared" si="13"/>
        <v>217.51738115984026</v>
      </c>
      <c r="B116" s="1">
        <f t="shared" si="14"/>
        <v>0.011619672618815479</v>
      </c>
      <c r="C116" s="11">
        <f t="shared" si="9"/>
        <v>1.821582472994193</v>
      </c>
      <c r="D116" s="6">
        <f t="shared" si="10"/>
        <v>353.4421090610839</v>
      </c>
      <c r="E116" s="1">
        <f t="shared" si="11"/>
        <v>3.1190963111761437E-06</v>
      </c>
      <c r="F116" s="1">
        <f t="shared" si="12"/>
        <v>26.07733145022305</v>
      </c>
    </row>
    <row r="117" spans="1:6" ht="12.75">
      <c r="A117" s="1">
        <f t="shared" si="13"/>
        <v>243.5947126100633</v>
      </c>
      <c r="B117" s="1">
        <f t="shared" si="14"/>
        <v>0.01153833491048377</v>
      </c>
      <c r="C117" s="11">
        <f t="shared" si="9"/>
        <v>1.8200293168931352</v>
      </c>
      <c r="D117" s="6">
        <f t="shared" si="10"/>
        <v>351.9025865739311</v>
      </c>
      <c r="E117" s="1">
        <f t="shared" si="11"/>
        <v>2.783031586780225E-06</v>
      </c>
      <c r="F117" s="1">
        <f t="shared" si="12"/>
        <v>29.021713140823454</v>
      </c>
    </row>
    <row r="118" spans="1:6" ht="12.75">
      <c r="A118" s="1">
        <f t="shared" si="13"/>
        <v>272.6164257508868</v>
      </c>
      <c r="B118" s="1">
        <f t="shared" si="14"/>
        <v>0.011457566566110385</v>
      </c>
      <c r="C118" s="11">
        <f t="shared" si="9"/>
        <v>1.8184883432995893</v>
      </c>
      <c r="D118" s="6">
        <f t="shared" si="10"/>
        <v>350.371862011941</v>
      </c>
      <c r="E118" s="1">
        <f t="shared" si="11"/>
        <v>2.484794201771253E-06</v>
      </c>
      <c r="F118" s="1">
        <f t="shared" si="12"/>
        <v>32.27750849772631</v>
      </c>
    </row>
    <row r="119" spans="1:6" ht="12.75">
      <c r="A119" s="1">
        <f t="shared" si="13"/>
        <v>304.8939342486131</v>
      </c>
      <c r="B119" s="1">
        <f t="shared" si="14"/>
        <v>0.011377363600147612</v>
      </c>
      <c r="C119" s="11">
        <f t="shared" si="9"/>
        <v>1.8169594475603694</v>
      </c>
      <c r="D119" s="6">
        <f t="shared" si="10"/>
        <v>348.84986428415846</v>
      </c>
      <c r="E119" s="1">
        <f t="shared" si="11"/>
        <v>2.2199508906992167E-06</v>
      </c>
      <c r="F119" s="1">
        <f t="shared" si="12"/>
        <v>35.8753635202933</v>
      </c>
    </row>
    <row r="120" spans="1:6" ht="12.75">
      <c r="A120" s="1">
        <f t="shared" si="13"/>
        <v>340.7692977689064</v>
      </c>
      <c r="B120" s="1">
        <f t="shared" si="14"/>
        <v>0.011297722054946578</v>
      </c>
      <c r="C120" s="11">
        <f t="shared" si="9"/>
        <v>1.8154425260488898</v>
      </c>
      <c r="D120" s="6">
        <f t="shared" si="10"/>
        <v>347.33652305615084</v>
      </c>
      <c r="E120" s="1">
        <f t="shared" si="11"/>
        <v>1.9846078288419995E-06</v>
      </c>
      <c r="F120" s="1">
        <f t="shared" si="12"/>
        <v>39.84870624579309</v>
      </c>
    </row>
    <row r="121" spans="1:6" ht="12.75">
      <c r="A121" s="1">
        <f t="shared" si="13"/>
        <v>380.6180040146995</v>
      </c>
      <c r="B121" s="1">
        <f t="shared" si="14"/>
        <v>0.011218638000561953</v>
      </c>
      <c r="C121" s="11">
        <f t="shared" si="9"/>
        <v>1.8139374761533558</v>
      </c>
      <c r="D121" s="6">
        <f t="shared" si="10"/>
        <v>345.83176874041766</v>
      </c>
      <c r="E121" s="1">
        <f t="shared" si="11"/>
        <v>1.7753426486635771E-06</v>
      </c>
      <c r="F121" s="1">
        <f t="shared" si="12"/>
        <v>44.23397706524369</v>
      </c>
    </row>
    <row r="122" spans="1:6" ht="12.75">
      <c r="A122" s="1">
        <f t="shared" si="13"/>
        <v>424.85198107994324</v>
      </c>
      <c r="B122" s="1">
        <f t="shared" si="14"/>
        <v>0.01114010753455802</v>
      </c>
      <c r="C122" s="11">
        <f t="shared" si="9"/>
        <v>1.8124441962651145</v>
      </c>
      <c r="D122" s="6">
        <f t="shared" si="10"/>
        <v>344.3355324869381</v>
      </c>
      <c r="E122" s="1">
        <f t="shared" si="11"/>
        <v>1.5891453110512534E-06</v>
      </c>
      <c r="F122" s="1">
        <f t="shared" si="12"/>
        <v>49.07087614934358</v>
      </c>
    </row>
    <row r="123" spans="1:6" ht="12.75">
      <c r="A123" s="1">
        <f t="shared" si="13"/>
        <v>473.9228572292868</v>
      </c>
      <c r="B123" s="1">
        <f t="shared" si="14"/>
        <v>0.011062126781816114</v>
      </c>
      <c r="C123" s="11">
        <f t="shared" si="9"/>
        <v>1.8109625857671618</v>
      </c>
      <c r="D123" s="6">
        <f t="shared" si="10"/>
        <v>342.8477461738545</v>
      </c>
      <c r="E123" s="1">
        <f t="shared" si="11"/>
        <v>1.423366641599023E-06</v>
      </c>
      <c r="F123" s="1">
        <f t="shared" si="12"/>
        <v>54.40262909753297</v>
      </c>
    </row>
    <row r="124" spans="1:6" ht="12.75">
      <c r="A124" s="1">
        <f t="shared" si="13"/>
        <v>528.3254863268198</v>
      </c>
      <c r="B124" s="1">
        <f t="shared" si="14"/>
        <v>0.010984691894343401</v>
      </c>
      <c r="C124" s="11">
        <f t="shared" si="9"/>
        <v>1.8094925450227999</v>
      </c>
      <c r="D124" s="6">
        <f t="shared" si="10"/>
        <v>341.3683423982881</v>
      </c>
      <c r="E124" s="1">
        <f t="shared" si="11"/>
        <v>1.275673506828586E-06</v>
      </c>
      <c r="F124" s="1">
        <f t="shared" si="12"/>
        <v>60.27627198401637</v>
      </c>
    </row>
    <row r="125" spans="1:6" ht="12.75">
      <c r="A125" s="1">
        <f t="shared" si="13"/>
        <v>588.6017583108362</v>
      </c>
      <c r="B125" s="1">
        <f t="shared" si="14"/>
        <v>0.010907799051082996</v>
      </c>
      <c r="C125" s="11">
        <f t="shared" si="9"/>
        <v>1.8080339753644532</v>
      </c>
      <c r="D125" s="6">
        <f t="shared" si="10"/>
        <v>339.8972544672891</v>
      </c>
      <c r="E125" s="1">
        <f t="shared" si="11"/>
        <v>1.1440097464395847E-06</v>
      </c>
      <c r="F125" s="1">
        <f t="shared" si="12"/>
        <v>66.74295703792177</v>
      </c>
    </row>
    <row r="126" spans="1:6" ht="12.75">
      <c r="A126" s="1">
        <f t="shared" si="13"/>
        <v>655.344715348758</v>
      </c>
      <c r="B126" s="1">
        <f t="shared" si="14"/>
        <v>0.010831444457725416</v>
      </c>
      <c r="C126" s="11">
        <f t="shared" si="9"/>
        <v>1.8065867790826269</v>
      </c>
      <c r="D126" s="6">
        <f t="shared" si="10"/>
        <v>338.4344163889129</v>
      </c>
      <c r="E126" s="1">
        <f t="shared" si="11"/>
        <v>1.026562098879058E-06</v>
      </c>
      <c r="F126" s="1">
        <f t="shared" si="12"/>
        <v>73.85828026075458</v>
      </c>
    </row>
    <row r="127" spans="1:6" ht="12.75">
      <c r="A127" s="1">
        <f t="shared" si="13"/>
        <v>729.2029956095125</v>
      </c>
      <c r="B127" s="1">
        <f t="shared" si="14"/>
        <v>0.010755624346521338</v>
      </c>
      <c r="C127" s="11">
        <f t="shared" si="9"/>
        <v>1.8051508594150159</v>
      </c>
      <c r="D127" s="6">
        <f t="shared" si="10"/>
        <v>336.97976286342566</v>
      </c>
      <c r="E127" s="1">
        <f t="shared" si="11"/>
        <v>9.217304616280161E-07</v>
      </c>
      <c r="F127" s="1">
        <f t="shared" si="12"/>
        <v>81.68263235292096</v>
      </c>
    </row>
    <row r="128" spans="1:6" ht="12.75">
      <c r="A128" s="1">
        <f t="shared" si="13"/>
        <v>810.8856279624335</v>
      </c>
      <c r="B128" s="1">
        <f t="shared" si="14"/>
        <v>0.010680334976095688</v>
      </c>
      <c r="C128" s="11">
        <f t="shared" si="9"/>
        <v>1.8037261205357578</v>
      </c>
      <c r="D128" s="6">
        <f t="shared" si="10"/>
        <v>335.53322927463444</v>
      </c>
      <c r="E128" s="1">
        <f t="shared" si="11"/>
        <v>8.281019170940068E-07</v>
      </c>
      <c r="F128" s="1">
        <f t="shared" si="12"/>
        <v>90.28157439247028</v>
      </c>
    </row>
    <row r="129" spans="1:6" ht="12.75">
      <c r="A129" s="1">
        <f t="shared" si="13"/>
        <v>901.1672023549038</v>
      </c>
      <c r="B129" s="1">
        <f t="shared" si="14"/>
        <v>0.010605572631263018</v>
      </c>
      <c r="C129" s="11">
        <f t="shared" si="9"/>
        <v>1.8023124675448279</v>
      </c>
      <c r="D129" s="6">
        <f t="shared" si="10"/>
        <v>334.0947516813406</v>
      </c>
      <c r="E129" s="1">
        <f t="shared" si="11"/>
        <v>7.444280319813728E-07</v>
      </c>
      <c r="F129" s="1">
        <f t="shared" si="12"/>
        <v>99.72623978337606</v>
      </c>
    </row>
    <row r="130" spans="1:6" ht="12.75">
      <c r="A130" s="1">
        <f t="shared" si="13"/>
        <v>1000.8934421382799</v>
      </c>
      <c r="B130" s="1">
        <f t="shared" si="14"/>
        <v>0.010531333622844178</v>
      </c>
      <c r="C130" s="11">
        <f t="shared" si="9"/>
        <v>1.8009098064575755</v>
      </c>
      <c r="D130" s="6">
        <f t="shared" si="10"/>
        <v>332.6642668089146</v>
      </c>
      <c r="E130" s="1">
        <f t="shared" si="11"/>
        <v>6.69605004281601E-07</v>
      </c>
      <c r="F130" s="1">
        <f t="shared" si="12"/>
        <v>110.09376406766924</v>
      </c>
    </row>
    <row r="131" spans="1:6" ht="12.75">
      <c r="A131" s="1">
        <f t="shared" si="13"/>
        <v>1110.9872062059492</v>
      </c>
      <c r="B131" s="1">
        <f t="shared" si="14"/>
        <v>0.010457614287484268</v>
      </c>
      <c r="C131" s="11">
        <f t="shared" si="9"/>
        <v>1.7995180441943976</v>
      </c>
      <c r="D131" s="6">
        <f t="shared" si="10"/>
        <v>331.24171204099025</v>
      </c>
      <c r="E131" s="1">
        <f t="shared" si="11"/>
        <v>6.02656289115477E-07</v>
      </c>
      <c r="F131" s="1">
        <f t="shared" si="12"/>
        <v>121.46774427564822</v>
      </c>
    </row>
    <row r="132" spans="1:6" ht="12.75">
      <c r="A132" s="1">
        <f t="shared" si="13"/>
        <v>1232.4549504815973</v>
      </c>
      <c r="B132" s="1">
        <f t="shared" si="14"/>
        <v>0.010384410987471879</v>
      </c>
      <c r="C132" s="11">
        <f t="shared" si="9"/>
        <v>1.7981370885705494</v>
      </c>
      <c r="D132" s="6">
        <f t="shared" si="10"/>
        <v>329.82702541127634</v>
      </c>
      <c r="E132" s="1">
        <f t="shared" si="11"/>
        <v>5.42717383873923E-07</v>
      </c>
      <c r="F132" s="1">
        <f t="shared" si="12"/>
        <v>133.9387295712454</v>
      </c>
    </row>
    <row r="133" spans="1:6" ht="12.75">
      <c r="A133" s="1">
        <f t="shared" si="13"/>
        <v>1366.3936800528427</v>
      </c>
      <c r="B133" s="1">
        <f t="shared" si="14"/>
        <v>0.010311720110559575</v>
      </c>
      <c r="C133" s="11">
        <f t="shared" si="9"/>
        <v>1.7967668482860886</v>
      </c>
      <c r="D133" s="6">
        <f t="shared" si="10"/>
        <v>328.42014559548403</v>
      </c>
      <c r="E133" s="1">
        <f t="shared" si="11"/>
        <v>4.890224955611123E-07</v>
      </c>
      <c r="F133" s="1">
        <f t="shared" si="12"/>
        <v>147.60474503549003</v>
      </c>
    </row>
    <row r="134" spans="1:6" ht="12.75">
      <c r="A134" s="1">
        <f t="shared" si="13"/>
        <v>1513.9984250883326</v>
      </c>
      <c r="B134" s="1">
        <f t="shared" si="14"/>
        <v>0.010239538069785658</v>
      </c>
      <c r="C134" s="11">
        <f t="shared" si="9"/>
        <v>1.7954072329159512</v>
      </c>
      <c r="D134" s="6">
        <f t="shared" si="10"/>
        <v>327.0210119033678</v>
      </c>
      <c r="E134" s="1">
        <f t="shared" si="11"/>
        <v>4.4089284989544595E-07</v>
      </c>
      <c r="F134" s="1">
        <f t="shared" si="12"/>
        <v>162.57185051991013</v>
      </c>
    </row>
    <row r="135" spans="1:6" ht="12.75">
      <c r="A135" s="1">
        <f t="shared" si="13"/>
        <v>1676.5702756082428</v>
      </c>
      <c r="B135" s="1">
        <f t="shared" si="14"/>
        <v>0.010167861303297158</v>
      </c>
      <c r="C135" s="11">
        <f t="shared" si="9"/>
        <v>1.7940581529001594</v>
      </c>
      <c r="D135" s="6">
        <f t="shared" si="10"/>
        <v>325.62956427087914</v>
      </c>
      <c r="E135" s="1">
        <f t="shared" si="11"/>
        <v>3.977264333867537E-07</v>
      </c>
      <c r="F135" s="1">
        <f t="shared" si="12"/>
        <v>178.9547365937046</v>
      </c>
    </row>
    <row r="136" spans="1:6" ht="12.75">
      <c r="A136" s="1">
        <f t="shared" si="13"/>
        <v>1855.5250122019474</v>
      </c>
      <c r="B136" s="1">
        <f t="shared" si="14"/>
        <v>0.010096686274174078</v>
      </c>
      <c r="C136" s="11">
        <f t="shared" si="9"/>
        <v>1.7927195195341539</v>
      </c>
      <c r="D136" s="6">
        <f t="shared" si="10"/>
        <v>324.245743252429</v>
      </c>
      <c r="E136" s="1">
        <f t="shared" si="11"/>
        <v>3.589889869794895E-07</v>
      </c>
      <c r="F136" s="1">
        <f t="shared" si="12"/>
        <v>196.87735970367413</v>
      </c>
    </row>
    <row r="137" spans="1:6" ht="12.75">
      <c r="A137" s="1">
        <f t="shared" si="13"/>
        <v>2052.4023719056217</v>
      </c>
      <c r="B137" s="1">
        <f t="shared" si="14"/>
        <v>0.01002600947025486</v>
      </c>
      <c r="C137" s="11">
        <f t="shared" si="9"/>
        <v>1.7913912449592586</v>
      </c>
      <c r="D137" s="6">
        <f t="shared" si="10"/>
        <v>322.86949001326127</v>
      </c>
      <c r="E137" s="1">
        <f t="shared" si="11"/>
        <v>3.2420609352982E-07</v>
      </c>
      <c r="F137" s="1">
        <f t="shared" si="12"/>
        <v>216.47361876413584</v>
      </c>
    </row>
    <row r="138" spans="1:6" ht="12.75">
      <c r="A138" s="1">
        <f t="shared" si="13"/>
        <v>2268.875990669758</v>
      </c>
      <c r="B138" s="1">
        <f t="shared" si="14"/>
        <v>0.009955827403963075</v>
      </c>
      <c r="C138" s="11">
        <f t="shared" si="9"/>
        <v>1.7900732421532617</v>
      </c>
      <c r="D138" s="6">
        <f t="shared" si="10"/>
        <v>321.50074632192974</v>
      </c>
      <c r="E138" s="1">
        <f t="shared" si="11"/>
        <v>2.929562218809561E-07</v>
      </c>
      <c r="F138" s="1">
        <f t="shared" si="12"/>
        <v>237.8880754956645</v>
      </c>
    </row>
    <row r="139" spans="1:6" ht="12.75">
      <c r="A139" s="1">
        <f t="shared" si="13"/>
        <v>2506.7640661654223</v>
      </c>
      <c r="B139" s="1">
        <f t="shared" si="14"/>
        <v>0.009886136612135334</v>
      </c>
      <c r="C139" s="11">
        <f t="shared" si="9"/>
        <v>1.7887654249211264</v>
      </c>
      <c r="D139" s="6">
        <f t="shared" si="10"/>
        <v>320.1394545428841</v>
      </c>
      <c r="E139" s="1">
        <f t="shared" si="11"/>
        <v>2.6486460805622064E-07</v>
      </c>
      <c r="F139" s="1">
        <f t="shared" si="12"/>
        <v>261.27672093607237</v>
      </c>
    </row>
    <row r="140" spans="1:6" ht="12.75">
      <c r="A140" s="1">
        <f t="shared" si="13"/>
        <v>2768.0407871014945</v>
      </c>
      <c r="B140" s="1">
        <f t="shared" si="14"/>
        <v>0.009816933655850386</v>
      </c>
      <c r="C140" s="11">
        <f t="shared" si="9"/>
        <v>1.787467707885818</v>
      </c>
      <c r="D140" s="6">
        <f t="shared" si="10"/>
        <v>318.78555762915573</v>
      </c>
      <c r="E140" s="1">
        <f t="shared" si="11"/>
        <v>2.3959786947891465E-07</v>
      </c>
      <c r="F140" s="1">
        <f t="shared" si="12"/>
        <v>286.807790655251</v>
      </c>
    </row>
    <row r="141" spans="1:6" ht="12.75">
      <c r="A141" s="1">
        <f t="shared" si="13"/>
        <v>3054.8485777567457</v>
      </c>
      <c r="B141" s="1">
        <f t="shared" si="14"/>
        <v>0.009748215120259434</v>
      </c>
      <c r="C141" s="11">
        <f t="shared" si="9"/>
        <v>1.7861800064792526</v>
      </c>
      <c r="D141" s="6">
        <f t="shared" si="10"/>
        <v>317.4389991151483</v>
      </c>
      <c r="E141" s="1">
        <f t="shared" si="11"/>
        <v>2.168592614772936E-07</v>
      </c>
      <c r="F141" s="1">
        <f t="shared" si="12"/>
        <v>314.6626313165827</v>
      </c>
    </row>
    <row r="142" spans="1:6" ht="12.75">
      <c r="A142" s="1">
        <f t="shared" si="13"/>
        <v>3369.5112090733282</v>
      </c>
      <c r="B142" s="1">
        <f t="shared" si="14"/>
        <v>0.009679977614417617</v>
      </c>
      <c r="C142" s="11">
        <f t="shared" si="9"/>
        <v>1.7849022369333596</v>
      </c>
      <c r="D142" s="6">
        <f t="shared" si="10"/>
        <v>316.0997231095271</v>
      </c>
      <c r="E142" s="1">
        <f t="shared" si="11"/>
        <v>1.9638449691890763E-07</v>
      </c>
      <c r="F142" s="1">
        <f t="shared" si="12"/>
        <v>345.036621342382</v>
      </c>
    </row>
    <row r="143" spans="1:6" ht="12.75">
      <c r="A143" s="1">
        <f t="shared" si="13"/>
        <v>3714.5478304157105</v>
      </c>
      <c r="B143" s="1">
        <f t="shared" si="14"/>
        <v>0.009612217771116694</v>
      </c>
      <c r="C143" s="11">
        <f t="shared" si="9"/>
        <v>1.7836343162712631</v>
      </c>
      <c r="D143" s="6">
        <f t="shared" si="10"/>
        <v>314.76767428820744</v>
      </c>
      <c r="E143" s="1">
        <f t="shared" si="11"/>
        <v>1.7793805988147422E-07</v>
      </c>
      <c r="F143" s="1">
        <f t="shared" si="12"/>
        <v>378.1401485586401</v>
      </c>
    </row>
    <row r="144" spans="1:6" ht="12.75">
      <c r="A144" s="1">
        <f t="shared" si="13"/>
        <v>4092.6879789743507</v>
      </c>
      <c r="B144" s="1">
        <f t="shared" si="14"/>
        <v>0.009544932246718877</v>
      </c>
      <c r="C144" s="11">
        <f t="shared" si="9"/>
        <v>1.782376162298575</v>
      </c>
      <c r="D144" s="6">
        <f t="shared" si="10"/>
        <v>313.4427978874407</v>
      </c>
      <c r="E144" s="1">
        <f t="shared" si="11"/>
        <v>1.6130995301274032E-07</v>
      </c>
      <c r="F144" s="1">
        <f t="shared" si="12"/>
        <v>414.1996478156255</v>
      </c>
    </row>
    <row r="145" spans="1:6" ht="12.75">
      <c r="A145" s="1">
        <f t="shared" si="13"/>
        <v>4506.887626789976</v>
      </c>
      <c r="B145" s="1">
        <f t="shared" si="14"/>
        <v>0.009478117720991846</v>
      </c>
      <c r="C145" s="11">
        <f t="shared" si="9"/>
        <v>1.7811276935947997</v>
      </c>
      <c r="D145" s="6">
        <f t="shared" si="10"/>
        <v>312.1250396969958</v>
      </c>
      <c r="E145" s="1">
        <f t="shared" si="11"/>
        <v>1.4631282583709396E-07</v>
      </c>
      <c r="F145" s="1">
        <f t="shared" si="12"/>
        <v>453.45870170544094</v>
      </c>
    </row>
    <row r="146" spans="1:6" ht="12.75">
      <c r="A146" s="1">
        <f t="shared" si="13"/>
        <v>4960.346328495417</v>
      </c>
      <c r="B146" s="1">
        <f t="shared" si="14"/>
        <v>0.009411770896944902</v>
      </c>
      <c r="C146" s="11">
        <f t="shared" si="9"/>
        <v>1.7798888295048518</v>
      </c>
      <c r="D146" s="6">
        <f t="shared" si="10"/>
        <v>310.81434605343486</v>
      </c>
      <c r="E146" s="1">
        <f t="shared" si="11"/>
        <v>1.3277943788473113E-07</v>
      </c>
      <c r="F146" s="1">
        <f t="shared" si="12"/>
        <v>496.1792076255687</v>
      </c>
    </row>
    <row r="147" spans="1:6" ht="12.75">
      <c r="A147" s="1">
        <f t="shared" si="13"/>
        <v>5456.525536120986</v>
      </c>
      <c r="B147" s="1">
        <f t="shared" si="14"/>
        <v>0.009345888500666288</v>
      </c>
      <c r="C147" s="11">
        <f t="shared" si="9"/>
        <v>1.778659490130679</v>
      </c>
      <c r="D147" s="6">
        <f t="shared" si="10"/>
        <v>309.510663833482</v>
      </c>
      <c r="E147" s="1">
        <f t="shared" si="11"/>
        <v>1.2056041628185687E-07</v>
      </c>
      <c r="F147" s="1">
        <f t="shared" si="12"/>
        <v>542.6426145685866</v>
      </c>
    </row>
    <row r="148" spans="1:6" ht="12.75">
      <c r="A148" s="1">
        <f t="shared" si="13"/>
        <v>5999.168150689572</v>
      </c>
      <c r="B148" s="1">
        <f t="shared" si="14"/>
        <v>0.009280467281161624</v>
      </c>
      <c r="C148" s="11">
        <f t="shared" si="9"/>
        <v>1.7774395963229948</v>
      </c>
      <c r="D148" s="6">
        <f t="shared" si="10"/>
        <v>308.21394044748297</v>
      </c>
      <c r="E148" s="1">
        <f t="shared" si="11"/>
        <v>1.0952227246131163E-07</v>
      </c>
      <c r="F148" s="1">
        <f t="shared" si="12"/>
        <v>593.1512331528678</v>
      </c>
    </row>
    <row r="149" spans="1:6" ht="12.75">
      <c r="A149" s="1">
        <f t="shared" si="13"/>
        <v>6592.3193838424395</v>
      </c>
      <c r="B149" s="1">
        <f t="shared" si="14"/>
        <v>0.009215504010193493</v>
      </c>
      <c r="C149" s="11">
        <f t="shared" si="9"/>
        <v>1.7762290696731156</v>
      </c>
      <c r="D149" s="6">
        <f t="shared" si="10"/>
        <v>306.92412383295556</v>
      </c>
      <c r="E149" s="1">
        <f t="shared" si="11"/>
        <v>9.954564703050706E-08</v>
      </c>
      <c r="F149" s="1">
        <f t="shared" si="12"/>
        <v>648.0296225467797</v>
      </c>
    </row>
    <row r="150" spans="1:6" ht="12.75">
      <c r="A150" s="1">
        <f t="shared" si="13"/>
        <v>7240.3490063892195</v>
      </c>
      <c r="B150" s="1">
        <f t="shared" si="14"/>
        <v>0.009150995482122138</v>
      </c>
      <c r="C150" s="11">
        <f t="shared" si="9"/>
        <v>1.7750278325049007</v>
      </c>
      <c r="D150" s="6">
        <f t="shared" si="10"/>
        <v>305.64116244822736</v>
      </c>
      <c r="E150" s="1">
        <f t="shared" si="11"/>
        <v>9.052375565231599E-08</v>
      </c>
      <c r="F150" s="1">
        <f t="shared" si="12"/>
        <v>707.6260580801047</v>
      </c>
    </row>
    <row r="151" spans="1:6" ht="12.75">
      <c r="A151" s="1">
        <f t="shared" si="13"/>
        <v>7947.975064469324</v>
      </c>
      <c r="B151" s="1">
        <f t="shared" si="14"/>
        <v>0.009086938513747284</v>
      </c>
      <c r="C151" s="11">
        <f t="shared" si="9"/>
        <v>1.7738358078667995</v>
      </c>
      <c r="D151" s="6">
        <f t="shared" si="10"/>
        <v>304.3650052661627</v>
      </c>
      <c r="E151" s="1">
        <f t="shared" si="11"/>
        <v>8.236101212808142E-08</v>
      </c>
      <c r="F151" s="1">
        <f t="shared" si="12"/>
        <v>772.314083480566</v>
      </c>
    </row>
    <row r="152" spans="1:6" ht="12.75">
      <c r="A152" s="1">
        <f t="shared" si="13"/>
        <v>8720.28914794989</v>
      </c>
      <c r="B152" s="1">
        <f t="shared" si="14"/>
        <v>0.009023329944151053</v>
      </c>
      <c r="C152" s="11">
        <f t="shared" si="9"/>
        <v>1.7726529195239922</v>
      </c>
      <c r="D152" s="6">
        <f t="shared" si="10"/>
        <v>303.09560176797277</v>
      </c>
      <c r="E152" s="1">
        <f t="shared" si="11"/>
        <v>7.497180778350253E-08</v>
      </c>
      <c r="F152" s="1">
        <f t="shared" si="12"/>
        <v>842.4941518211115</v>
      </c>
    </row>
    <row r="153" spans="1:6" ht="12.75">
      <c r="A153" s="1">
        <f t="shared" si="13"/>
        <v>9562.783299771001</v>
      </c>
      <c r="B153" s="1">
        <f t="shared" si="14"/>
        <v>0.008960166634541996</v>
      </c>
      <c r="C153" s="11">
        <f t="shared" si="9"/>
        <v>1.7714790919506367</v>
      </c>
      <c r="D153" s="6">
        <f t="shared" si="10"/>
        <v>301.8329019371131</v>
      </c>
      <c r="E153" s="1">
        <f t="shared" si="11"/>
        <v>6.827942880291961E-08</v>
      </c>
      <c r="F153" s="1">
        <f t="shared" si="12"/>
        <v>918.5953594139035</v>
      </c>
    </row>
    <row r="154" spans="1:6" ht="12.75">
      <c r="A154" s="1">
        <f t="shared" si="13"/>
        <v>10481.378659184904</v>
      </c>
      <c r="B154" s="1">
        <f t="shared" si="14"/>
        <v>0.008897445468100201</v>
      </c>
      <c r="C154" s="11">
        <f t="shared" si="9"/>
        <v>1.7703142503222111</v>
      </c>
      <c r="D154" s="6">
        <f t="shared" si="10"/>
        <v>300.57685625326263</v>
      </c>
      <c r="E154" s="1">
        <f t="shared" si="11"/>
        <v>6.221509538283514E-08</v>
      </c>
      <c r="F154" s="1">
        <f t="shared" si="12"/>
        <v>1001.0772770411079</v>
      </c>
    </row>
    <row r="155" spans="1:6" ht="12.75">
      <c r="A155" s="1">
        <f t="shared" si="13"/>
        <v>11482.455936226012</v>
      </c>
      <c r="B155" s="1">
        <f t="shared" si="14"/>
        <v>0.0088351633498235</v>
      </c>
      <c r="C155" s="11">
        <f t="shared" si="9"/>
        <v>1.7691583205079509</v>
      </c>
      <c r="D155" s="6">
        <f t="shared" si="10"/>
        <v>299.3274156863851</v>
      </c>
      <c r="E155" s="1">
        <f t="shared" si="11"/>
        <v>5.671710852280995E-08</v>
      </c>
      <c r="F155" s="1">
        <f t="shared" si="12"/>
        <v>1090.4318830691416</v>
      </c>
    </row>
    <row r="156" spans="1:6" ht="12.75">
      <c r="A156" s="1">
        <f t="shared" si="13"/>
        <v>12572.887819295152</v>
      </c>
      <c r="B156" s="1">
        <f t="shared" si="14"/>
        <v>0.008773317206374736</v>
      </c>
      <c r="C156" s="11">
        <f aca="true" t="shared" si="15" ref="C156:C174">1.6126*EXP(2.6218*B156/t)</f>
        <v>1.7680112290633854</v>
      </c>
      <c r="D156" s="6">
        <f aca="true" t="shared" si="16" ref="D156:D174">C156*$I$3*SQRT(B156)</f>
        <v>298.08453169087176</v>
      </c>
      <c r="E156" s="1">
        <f t="shared" si="11"/>
        <v>5.1730091976796284E-08</v>
      </c>
      <c r="F156" s="1">
        <f t="shared" si="12"/>
        <v>1187.1856031528084</v>
      </c>
    </row>
    <row r="157" spans="1:6" ht="12.75">
      <c r="A157" s="1">
        <f t="shared" si="13"/>
        <v>13760.07342244796</v>
      </c>
      <c r="B157" s="1">
        <f t="shared" si="14"/>
        <v>0.008711903985930114</v>
      </c>
      <c r="C157" s="11">
        <f t="shared" si="15"/>
        <v>1.7668729032229649</v>
      </c>
      <c r="D157" s="6">
        <f t="shared" si="16"/>
        <v>296.84815619976285</v>
      </c>
      <c r="E157" s="1">
        <f aca="true" t="shared" si="17" ref="E157:E174">39.37*EXP((D157-$C$8)/$E$8)</f>
        <v>4.7204318381597256E-08</v>
      </c>
      <c r="F157" s="1">
        <f aca="true" t="shared" si="18" ref="F157:F174">$F$25*B157/E157</f>
        <v>1291.9014613986108</v>
      </c>
    </row>
    <row r="158" spans="1:6" ht="12.75">
      <c r="A158" s="1">
        <f aca="true" t="shared" si="19" ref="A158:A174">A157+F157</f>
        <v>15051.974883846571</v>
      </c>
      <c r="B158" s="1">
        <f aca="true" t="shared" si="20" ref="B158:B174">B157-(A158-A157)*E157</f>
        <v>0.008650920658028603</v>
      </c>
      <c r="C158" s="11">
        <f t="shared" si="15"/>
        <v>1.7657432708927818</v>
      </c>
      <c r="D158" s="6">
        <f t="shared" si="16"/>
        <v>295.61824161904826</v>
      </c>
      <c r="E158" s="1">
        <f t="shared" si="17"/>
        <v>4.309510988845313E-08</v>
      </c>
      <c r="F158" s="1">
        <f t="shared" si="18"/>
        <v>1405.1813480217083</v>
      </c>
    </row>
    <row r="159" spans="1:6" ht="12.75">
      <c r="A159" s="1">
        <f t="shared" si="19"/>
        <v>16457.15623186828</v>
      </c>
      <c r="B159" s="1">
        <f t="shared" si="20"/>
        <v>0.008590364213422403</v>
      </c>
      <c r="C159" s="11">
        <f t="shared" si="15"/>
        <v>1.7646222606433826</v>
      </c>
      <c r="D159" s="6">
        <f t="shared" si="16"/>
        <v>294.3947408220446</v>
      </c>
      <c r="E159" s="1">
        <f t="shared" si="17"/>
        <v>3.936230477211183E-08</v>
      </c>
      <c r="F159" s="1">
        <f t="shared" si="18"/>
        <v>1527.6684086995003</v>
      </c>
    </row>
    <row r="160" spans="1:6" ht="12.75">
      <c r="A160" s="1">
        <f t="shared" si="19"/>
        <v>17984.824640567782</v>
      </c>
      <c r="B160" s="1">
        <f t="shared" si="20"/>
        <v>0.008530231663928446</v>
      </c>
      <c r="C160" s="11">
        <f t="shared" si="15"/>
        <v>1.7635098017026691</v>
      </c>
      <c r="D160" s="6">
        <f t="shared" si="16"/>
        <v>293.1776071438487</v>
      </c>
      <c r="E160" s="1">
        <f t="shared" si="17"/>
        <v>3.5969782499563284E-08</v>
      </c>
      <c r="F160" s="1">
        <f t="shared" si="18"/>
        <v>1660.0495609953743</v>
      </c>
    </row>
    <row r="161" spans="1:6" ht="12.75">
      <c r="A161" s="1">
        <f t="shared" si="19"/>
        <v>19644.874201563158</v>
      </c>
      <c r="B161" s="1">
        <f t="shared" si="20"/>
        <v>0.008470520042280947</v>
      </c>
      <c r="C161" s="11">
        <f t="shared" si="15"/>
        <v>1.76240582394889</v>
      </c>
      <c r="D161" s="6">
        <f t="shared" si="16"/>
        <v>291.96679437586613</v>
      </c>
      <c r="E161" s="1">
        <f t="shared" si="17"/>
        <v>3.288504062557286E-08</v>
      </c>
      <c r="F161" s="1">
        <f t="shared" si="18"/>
        <v>1803.0581433996244</v>
      </c>
    </row>
    <row r="162" spans="1:6" ht="12.75">
      <c r="A162" s="1">
        <f t="shared" si="19"/>
        <v>21447.93234496278</v>
      </c>
      <c r="B162" s="1">
        <f t="shared" si="20"/>
        <v>0.00841122640198498</v>
      </c>
      <c r="C162" s="11">
        <f t="shared" si="15"/>
        <v>1.761310257903718</v>
      </c>
      <c r="D162" s="6">
        <f t="shared" si="16"/>
        <v>290.76225676041287</v>
      </c>
      <c r="E162" s="1">
        <f t="shared" si="17"/>
        <v>3.007881765967978E-08</v>
      </c>
      <c r="F162" s="1">
        <f t="shared" si="18"/>
        <v>1957.4767027103182</v>
      </c>
    </row>
    <row r="163" spans="1:6" ht="12.75">
      <c r="A163" s="1">
        <f t="shared" si="19"/>
        <v>23405.4090476731</v>
      </c>
      <c r="B163" s="1">
        <f t="shared" si="20"/>
        <v>0.008352347817171086</v>
      </c>
      <c r="C163" s="11">
        <f t="shared" si="15"/>
        <v>1.7602230347254144</v>
      </c>
      <c r="D163" s="6">
        <f t="shared" si="16"/>
        <v>289.5639489853901</v>
      </c>
      <c r="E163" s="1">
        <f t="shared" si="17"/>
        <v>2.7524756732858476E-08</v>
      </c>
      <c r="F163" s="1">
        <f t="shared" si="18"/>
        <v>2124.139925654696</v>
      </c>
    </row>
    <row r="164" spans="1:6" ht="12.75">
      <c r="A164" s="1">
        <f t="shared" si="19"/>
        <v>25529.548973327797</v>
      </c>
      <c r="B164" s="1">
        <f t="shared" si="20"/>
        <v>0.008293881382450888</v>
      </c>
      <c r="C164" s="11">
        <f t="shared" si="15"/>
        <v>1.7591440862020757</v>
      </c>
      <c r="D164" s="6">
        <f t="shared" si="16"/>
        <v>288.37182617903017</v>
      </c>
      <c r="E164" s="1">
        <f t="shared" si="17"/>
        <v>2.519910549326408E-08</v>
      </c>
      <c r="F164" s="1">
        <f t="shared" si="18"/>
        <v>2303.9377208320097</v>
      </c>
    </row>
    <row r="165" spans="1:6" ht="12.75">
      <c r="A165" s="1">
        <f t="shared" si="19"/>
        <v>27833.48669415981</v>
      </c>
      <c r="B165" s="1">
        <f t="shared" si="20"/>
        <v>0.008235824212773732</v>
      </c>
      <c r="C165" s="11">
        <f t="shared" si="15"/>
        <v>1.7580733447449692</v>
      </c>
      <c r="D165" s="6">
        <f t="shared" si="16"/>
        <v>287.1858439047137</v>
      </c>
      <c r="E165" s="1">
        <f t="shared" si="17"/>
        <v>2.3080448189618072E-08</v>
      </c>
      <c r="F165" s="1">
        <f t="shared" si="18"/>
        <v>2497.8184572407176</v>
      </c>
    </row>
    <row r="166" spans="1:6" ht="12.75">
      <c r="A166" s="1">
        <f t="shared" si="19"/>
        <v>30331.305151400527</v>
      </c>
      <c r="B166" s="1">
        <f t="shared" si="20"/>
        <v>0.008178173443284316</v>
      </c>
      <c r="C166" s="11">
        <f t="shared" si="15"/>
        <v>1.757010743381946</v>
      </c>
      <c r="D166" s="6">
        <f t="shared" si="16"/>
        <v>286.00595815585496</v>
      </c>
      <c r="E166" s="1">
        <f t="shared" si="17"/>
        <v>2.1149466366729055E-08</v>
      </c>
      <c r="F166" s="1">
        <f t="shared" si="18"/>
        <v>2706.7923658370764</v>
      </c>
    </row>
    <row r="167" spans="1:6" ht="12.75">
      <c r="A167" s="1">
        <f t="shared" si="19"/>
        <v>33038.097517237606</v>
      </c>
      <c r="B167" s="1">
        <f t="shared" si="20"/>
        <v>0.008120926229181325</v>
      </c>
      <c r="C167" s="11">
        <f t="shared" si="15"/>
        <v>1.7559562157509359</v>
      </c>
      <c r="D167" s="6">
        <f t="shared" si="16"/>
        <v>284.83212535085664</v>
      </c>
      <c r="E167" s="1">
        <f t="shared" si="17"/>
        <v>1.938872500816787E-08</v>
      </c>
      <c r="F167" s="1">
        <f t="shared" si="18"/>
        <v>2931.935110757495</v>
      </c>
    </row>
    <row r="168" spans="1:6" ht="12.75">
      <c r="A168" s="1">
        <f t="shared" si="19"/>
        <v>35970.0326279951</v>
      </c>
      <c r="B168" s="1">
        <f t="shared" si="20"/>
        <v>0.008064079745577057</v>
      </c>
      <c r="C168" s="11">
        <f t="shared" si="15"/>
        <v>1.7549096960935266</v>
      </c>
      <c r="D168" s="6">
        <f t="shared" si="16"/>
        <v>283.66430232813167</v>
      </c>
      <c r="E168" s="1">
        <f t="shared" si="17"/>
        <v>1.778248132300387E-08</v>
      </c>
      <c r="F168" s="1">
        <f t="shared" si="18"/>
        <v>3174.391537024482</v>
      </c>
    </row>
    <row r="169" spans="1:6" ht="12.75">
      <c r="A169" s="1">
        <f t="shared" si="19"/>
        <v>39144.424165019576</v>
      </c>
      <c r="B169" s="1">
        <f t="shared" si="20"/>
        <v>0.008007631187358017</v>
      </c>
      <c r="C169" s="11">
        <f t="shared" si="15"/>
        <v>1.7538711192486167</v>
      </c>
      <c r="D169" s="6">
        <f t="shared" si="16"/>
        <v>282.5024463411911</v>
      </c>
      <c r="E169" s="1">
        <f t="shared" si="17"/>
        <v>1.631651369270597E-08</v>
      </c>
      <c r="F169" s="1">
        <f t="shared" si="18"/>
        <v>3435.3796017444515</v>
      </c>
    </row>
    <row r="170" spans="1:6" ht="12.75">
      <c r="A170" s="1">
        <f t="shared" si="19"/>
        <v>42579.80376676403</v>
      </c>
      <c r="B170" s="1">
        <f t="shared" si="20"/>
        <v>0.007951577769046512</v>
      </c>
      <c r="C170" s="11">
        <f t="shared" si="15"/>
        <v>1.7528404206461499</v>
      </c>
      <c r="D170" s="6">
        <f t="shared" si="16"/>
        <v>281.3465150537977</v>
      </c>
      <c r="E170" s="1">
        <f t="shared" si="17"/>
        <v>1.4977968576002425E-08</v>
      </c>
      <c r="F170" s="1">
        <f t="shared" si="18"/>
        <v>3716.1944959949533</v>
      </c>
    </row>
    <row r="171" spans="1:6" ht="12.75">
      <c r="A171" s="1">
        <f t="shared" si="19"/>
        <v>46295.998262758985</v>
      </c>
      <c r="B171" s="1">
        <f t="shared" si="20"/>
        <v>0.007895916724663186</v>
      </c>
      <c r="C171" s="11">
        <f t="shared" si="15"/>
        <v>1.7518175363009234</v>
      </c>
      <c r="D171" s="6">
        <f t="shared" si="16"/>
        <v>280.1964665351838</v>
      </c>
      <c r="E171" s="1">
        <f t="shared" si="17"/>
        <v>1.3755223418212088E-08</v>
      </c>
      <c r="F171" s="1">
        <f t="shared" si="18"/>
        <v>4018.2129647899615</v>
      </c>
    </row>
    <row r="172" spans="1:6" ht="12.75">
      <c r="A172" s="1">
        <f t="shared" si="19"/>
        <v>50314.21122754895</v>
      </c>
      <c r="B172" s="1">
        <f t="shared" si="20"/>
        <v>0.007840645307590544</v>
      </c>
      <c r="C172" s="11">
        <f t="shared" si="15"/>
        <v>1.7508024028064757</v>
      </c>
      <c r="D172" s="6">
        <f t="shared" si="16"/>
        <v>279.05225925533244</v>
      </c>
      <c r="E172" s="1">
        <f t="shared" si="17"/>
        <v>1.2637763831293997E-08</v>
      </c>
      <c r="F172" s="1">
        <f t="shared" si="18"/>
        <v>4342.897832702584</v>
      </c>
    </row>
    <row r="173" spans="1:6" ht="12.75">
      <c r="A173" s="1">
        <f t="shared" si="19"/>
        <v>54657.10906025153</v>
      </c>
      <c r="B173" s="1">
        <f t="shared" si="20"/>
        <v>0.00778576079043741</v>
      </c>
      <c r="C173" s="11">
        <f t="shared" si="15"/>
        <v>1.7497949573290454</v>
      </c>
      <c r="D173" s="6">
        <f t="shared" si="16"/>
        <v>277.91385208032176</v>
      </c>
      <c r="E173" s="1">
        <f t="shared" si="17"/>
        <v>1.1616073505081518E-08</v>
      </c>
      <c r="F173" s="1">
        <f t="shared" si="18"/>
        <v>4691.802742916562</v>
      </c>
    </row>
    <row r="174" spans="1:6" ht="12.75">
      <c r="A174" s="1">
        <f t="shared" si="19"/>
        <v>59348.91180316809</v>
      </c>
      <c r="B174" s="1">
        <f t="shared" si="20"/>
        <v>0.007731260464904348</v>
      </c>
      <c r="C174" s="11">
        <f t="shared" si="15"/>
        <v>1.748795137601605</v>
      </c>
      <c r="D174" s="6">
        <f t="shared" si="16"/>
        <v>276.78120426772944</v>
      </c>
      <c r="E174" s="1">
        <f t="shared" si="17"/>
        <v>1.0681535481929545E-08</v>
      </c>
      <c r="F174" s="1">
        <f t="shared" si="18"/>
        <v>5066.577117670562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K143"/>
  <sheetViews>
    <sheetView zoomScale="70" zoomScaleNormal="70" workbookViewId="0" topLeftCell="M1">
      <selection activeCell="V13" sqref="V13"/>
    </sheetView>
  </sheetViews>
  <sheetFormatPr defaultColWidth="9.140625" defaultRowHeight="12.75"/>
  <cols>
    <col min="5" max="5" width="9.57421875" style="0" bestFit="1" customWidth="1"/>
    <col min="6" max="6" width="10.421875" style="0" customWidth="1"/>
    <col min="9" max="9" width="11.00390625" style="0" customWidth="1"/>
    <col min="10" max="10" width="12.7109375" style="0" customWidth="1"/>
    <col min="14" max="14" width="9.00390625" style="0" customWidth="1"/>
    <col min="21" max="21" width="9.57421875" style="0" bestFit="1" customWidth="1"/>
    <col min="27" max="27" width="3.7109375" style="0" customWidth="1"/>
  </cols>
  <sheetData>
    <row r="1" spans="1:26" ht="12.75">
      <c r="A1" s="37" t="s">
        <v>157</v>
      </c>
      <c r="B1" s="37"/>
      <c r="C1" s="37"/>
      <c r="D1" s="37"/>
      <c r="E1" s="37"/>
      <c r="F1" s="37"/>
      <c r="G1" s="37"/>
      <c r="H1" s="37"/>
      <c r="I1" s="37"/>
      <c r="J1" s="37"/>
      <c r="M1" t="s">
        <v>167</v>
      </c>
      <c r="T1" s="1" t="s">
        <v>162</v>
      </c>
      <c r="U1" s="8">
        <v>666.75</v>
      </c>
      <c r="V1" s="33" t="s">
        <v>163</v>
      </c>
      <c r="W1" s="8">
        <v>15.75</v>
      </c>
      <c r="X1" s="1" t="s">
        <v>164</v>
      </c>
      <c r="Z1">
        <v>4.119712723207435E-19</v>
      </c>
    </row>
    <row r="2" spans="1:21" ht="12.75">
      <c r="A2" s="37"/>
      <c r="B2" s="37"/>
      <c r="C2" s="37"/>
      <c r="D2" s="37"/>
      <c r="E2" s="37"/>
      <c r="F2" s="37"/>
      <c r="G2" s="37"/>
      <c r="H2" s="37"/>
      <c r="I2" s="37"/>
      <c r="J2" s="37"/>
      <c r="U2" t="s">
        <v>172</v>
      </c>
    </row>
    <row r="3" spans="1:21" ht="12.75">
      <c r="A3" s="37"/>
      <c r="B3" s="37"/>
      <c r="C3" s="37"/>
      <c r="D3" s="37"/>
      <c r="E3" s="37"/>
      <c r="F3" s="37"/>
      <c r="G3" s="37"/>
      <c r="H3" s="37"/>
      <c r="I3" s="37"/>
      <c r="J3" s="37"/>
      <c r="L3" t="s">
        <v>67</v>
      </c>
      <c r="N3" s="30">
        <v>4596</v>
      </c>
      <c r="O3" t="s">
        <v>68</v>
      </c>
      <c r="P3" s="11">
        <f>AC12</f>
        <v>2.696963699298037</v>
      </c>
      <c r="Q3" s="11">
        <f>AC14</f>
        <v>0.7723399632853893</v>
      </c>
      <c r="R3" s="11">
        <f>AC16</f>
        <v>1.6769849864094541</v>
      </c>
      <c r="S3" s="11">
        <f>AC19</f>
        <v>1.592738300686395</v>
      </c>
      <c r="U3" t="s">
        <v>173</v>
      </c>
    </row>
    <row r="4" spans="1:22" ht="12.75">
      <c r="A4" s="37"/>
      <c r="B4" s="37"/>
      <c r="C4" s="37"/>
      <c r="D4" s="37"/>
      <c r="E4" s="37"/>
      <c r="F4" s="37"/>
      <c r="G4" s="37"/>
      <c r="H4" s="37"/>
      <c r="I4" s="37"/>
      <c r="J4" s="37"/>
      <c r="L4" t="s">
        <v>69</v>
      </c>
      <c r="N4" s="2">
        <v>0.001</v>
      </c>
      <c r="T4" t="s">
        <v>136</v>
      </c>
      <c r="U4" s="8">
        <v>600</v>
      </c>
      <c r="V4" t="s">
        <v>166</v>
      </c>
    </row>
    <row r="5" spans="1:31" ht="12.75">
      <c r="A5" s="37"/>
      <c r="B5" s="37"/>
      <c r="C5" s="37"/>
      <c r="D5" s="37"/>
      <c r="E5" s="37"/>
      <c r="F5" s="37"/>
      <c r="G5" s="37"/>
      <c r="H5" s="37"/>
      <c r="I5" s="37"/>
      <c r="J5" s="37"/>
      <c r="L5" t="s">
        <v>73</v>
      </c>
      <c r="N5" s="31">
        <v>31500000</v>
      </c>
      <c r="O5" t="s">
        <v>74</v>
      </c>
      <c r="P5" t="s">
        <v>158</v>
      </c>
      <c r="AE5" s="1" t="s">
        <v>155</v>
      </c>
    </row>
    <row r="6" spans="16:35" ht="12.75">
      <c r="P6" t="s">
        <v>159</v>
      </c>
      <c r="U6" t="s">
        <v>133</v>
      </c>
      <c r="V6" t="s">
        <v>133</v>
      </c>
      <c r="AB6" t="s">
        <v>148</v>
      </c>
      <c r="AG6" s="1" t="s">
        <v>156</v>
      </c>
      <c r="AI6" s="1" t="s">
        <v>156</v>
      </c>
    </row>
    <row r="7" spans="9:35" ht="12.75">
      <c r="I7" t="s">
        <v>1</v>
      </c>
      <c r="K7" s="38" t="s">
        <v>39</v>
      </c>
      <c r="L7" s="38"/>
      <c r="M7" s="1">
        <v>113</v>
      </c>
      <c r="N7" s="1" t="s">
        <v>40</v>
      </c>
      <c r="P7" t="s">
        <v>160</v>
      </c>
      <c r="U7" t="s">
        <v>137</v>
      </c>
      <c r="V7" t="s">
        <v>137</v>
      </c>
      <c r="X7" s="40" t="s">
        <v>144</v>
      </c>
      <c r="Y7" s="40"/>
      <c r="Z7" s="40"/>
      <c r="AF7" t="s">
        <v>139</v>
      </c>
      <c r="AG7" s="1" t="s">
        <v>140</v>
      </c>
      <c r="AH7" t="s">
        <v>139</v>
      </c>
      <c r="AI7" s="1" t="s">
        <v>140</v>
      </c>
    </row>
    <row r="8" spans="1:37" ht="12.75">
      <c r="A8" t="s">
        <v>41</v>
      </c>
      <c r="K8" t="s">
        <v>75</v>
      </c>
      <c r="M8" s="1">
        <v>10</v>
      </c>
      <c r="N8" t="s">
        <v>76</v>
      </c>
      <c r="S8" t="s">
        <v>47</v>
      </c>
      <c r="U8" t="s">
        <v>134</v>
      </c>
      <c r="V8" t="s">
        <v>134</v>
      </c>
      <c r="X8" t="s">
        <v>141</v>
      </c>
      <c r="Y8" s="1" t="s">
        <v>143</v>
      </c>
      <c r="Z8" s="1" t="s">
        <v>28</v>
      </c>
      <c r="AB8" s="1" t="s">
        <v>143</v>
      </c>
      <c r="AC8" s="1" t="s">
        <v>28</v>
      </c>
      <c r="AD8" s="1"/>
      <c r="AE8" t="s">
        <v>141</v>
      </c>
      <c r="AF8" s="1" t="s">
        <v>143</v>
      </c>
      <c r="AG8" s="1" t="s">
        <v>143</v>
      </c>
      <c r="AH8" s="1" t="s">
        <v>28</v>
      </c>
      <c r="AI8" s="1" t="s">
        <v>28</v>
      </c>
      <c r="AK8" s="1"/>
    </row>
    <row r="9" spans="2:37" ht="12.75">
      <c r="B9" t="s">
        <v>42</v>
      </c>
      <c r="C9" t="s">
        <v>43</v>
      </c>
      <c r="E9" t="s">
        <v>47</v>
      </c>
      <c r="I9" t="s">
        <v>2</v>
      </c>
      <c r="J9" t="s">
        <v>3</v>
      </c>
      <c r="K9" t="s">
        <v>4</v>
      </c>
      <c r="L9" t="s">
        <v>5</v>
      </c>
      <c r="M9" t="s">
        <v>8</v>
      </c>
      <c r="N9" t="s">
        <v>9</v>
      </c>
      <c r="P9" s="1" t="s">
        <v>112</v>
      </c>
      <c r="Q9" s="1" t="s">
        <v>113</v>
      </c>
      <c r="R9" s="1" t="s">
        <v>114</v>
      </c>
      <c r="S9" s="1" t="s">
        <v>6</v>
      </c>
      <c r="T9" s="1" t="s">
        <v>115</v>
      </c>
      <c r="U9" s="1" t="s">
        <v>135</v>
      </c>
      <c r="V9" s="1" t="s">
        <v>138</v>
      </c>
      <c r="X9" s="1" t="s">
        <v>142</v>
      </c>
      <c r="Y9" s="1" t="s">
        <v>140</v>
      </c>
      <c r="Z9" s="1" t="s">
        <v>140</v>
      </c>
      <c r="AB9" s="1" t="s">
        <v>149</v>
      </c>
      <c r="AC9" s="1" t="s">
        <v>149</v>
      </c>
      <c r="AD9" s="1"/>
      <c r="AE9" s="1" t="s">
        <v>142</v>
      </c>
      <c r="AF9" s="1" t="s">
        <v>140</v>
      </c>
      <c r="AG9" s="1" t="s">
        <v>149</v>
      </c>
      <c r="AH9" s="1" t="s">
        <v>140</v>
      </c>
      <c r="AI9" s="1" t="s">
        <v>149</v>
      </c>
      <c r="AK9" s="1"/>
    </row>
    <row r="10" spans="2:30" ht="12.75">
      <c r="B10" t="s">
        <v>44</v>
      </c>
      <c r="C10" t="s">
        <v>45</v>
      </c>
      <c r="E10" t="s">
        <v>46</v>
      </c>
      <c r="K10" t="s">
        <v>6</v>
      </c>
      <c r="AB10" s="1"/>
      <c r="AC10" s="1"/>
      <c r="AD10" s="1"/>
    </row>
    <row r="11" spans="2:37" ht="12.75">
      <c r="B11" t="s">
        <v>48</v>
      </c>
      <c r="C11" t="s">
        <v>49</v>
      </c>
      <c r="E11" t="s">
        <v>50</v>
      </c>
      <c r="I11" t="s">
        <v>7</v>
      </c>
      <c r="J11" t="s">
        <v>10</v>
      </c>
      <c r="K11" s="1">
        <v>108</v>
      </c>
      <c r="L11" s="1">
        <v>16</v>
      </c>
      <c r="M11" s="1">
        <v>51.7</v>
      </c>
      <c r="N11" t="s">
        <v>24</v>
      </c>
      <c r="P11" s="10">
        <f>($N$3/$M$7)^(1/L11)</f>
        <v>1.2606117433872246</v>
      </c>
      <c r="Q11" s="10">
        <f>1/((LN(1/(1-$N$4)))^(1/L11))</f>
        <v>1.539878384044915</v>
      </c>
      <c r="R11" s="10">
        <f>($N$5/$M$8)^(1/M11)</f>
        <v>1.335649975805723</v>
      </c>
      <c r="S11" s="11">
        <f>K11/(P11*Q11*R11)</f>
        <v>41.654634078802864</v>
      </c>
      <c r="T11" s="6">
        <f>S11*1000000/6895</f>
        <v>6041.281229703098</v>
      </c>
      <c r="U11" s="13">
        <v>0.0012562973870283807</v>
      </c>
      <c r="V11" s="6">
        <f>U11/0.00003937</f>
        <v>31.910017450555774</v>
      </c>
      <c r="X11" t="s">
        <v>145</v>
      </c>
      <c r="Y11" s="1">
        <v>9</v>
      </c>
      <c r="Z11" s="1">
        <v>19</v>
      </c>
      <c r="AB11" s="11">
        <f>V11/Y11</f>
        <v>3.545557494506197</v>
      </c>
      <c r="AC11" s="35">
        <f>V11/Z11</f>
        <v>1.6794746026608303</v>
      </c>
      <c r="AD11" s="1"/>
      <c r="AE11" t="s">
        <v>145</v>
      </c>
      <c r="AF11" s="1">
        <v>9</v>
      </c>
      <c r="AG11" s="11">
        <f>AB11</f>
        <v>3.545557494506197</v>
      </c>
      <c r="AH11" s="1">
        <v>19</v>
      </c>
      <c r="AI11" s="11">
        <f>AC11</f>
        <v>1.6794746026608303</v>
      </c>
      <c r="AK11" s="1"/>
    </row>
    <row r="12" spans="5:37" ht="12.75">
      <c r="E12" t="s">
        <v>51</v>
      </c>
      <c r="F12" t="s">
        <v>52</v>
      </c>
      <c r="I12" t="s">
        <v>7</v>
      </c>
      <c r="J12" t="s">
        <v>11</v>
      </c>
      <c r="K12" s="1">
        <v>71.3</v>
      </c>
      <c r="L12" s="1">
        <v>12.4</v>
      </c>
      <c r="M12" s="1">
        <v>59.2</v>
      </c>
      <c r="N12" t="s">
        <v>24</v>
      </c>
      <c r="P12" s="10">
        <f aca="true" t="shared" si="0" ref="P12:P19">($N$3/$M$7)^(1/L12)</f>
        <v>1.3482871181965743</v>
      </c>
      <c r="Q12" s="10">
        <f aca="true" t="shared" si="1" ref="Q12:Q19">1/((LN(1/(1-$N$4)))^(1/L12))</f>
        <v>1.745492410011414</v>
      </c>
      <c r="R12" s="10">
        <f aca="true" t="shared" si="2" ref="R12:R19">($N$5/$M$8)^(1/M12)</f>
        <v>1.2875638041719173</v>
      </c>
      <c r="S12" s="11">
        <f aca="true" t="shared" si="3" ref="S12:S25">K12/(P12*Q12*R12)</f>
        <v>23.529918373969565</v>
      </c>
      <c r="T12" s="6">
        <f aca="true" t="shared" si="4" ref="T12:T25">S12*1000000/6895</f>
        <v>3412.6060005757167</v>
      </c>
      <c r="U12" s="13">
        <v>0.005202793581226823</v>
      </c>
      <c r="V12" s="6">
        <f aca="true" t="shared" si="5" ref="V12:V25">U12/0.00003937</f>
        <v>132.15122126560382</v>
      </c>
      <c r="X12" t="s">
        <v>145</v>
      </c>
      <c r="Y12" s="1">
        <v>29</v>
      </c>
      <c r="Z12" s="1">
        <v>49</v>
      </c>
      <c r="AB12" s="11">
        <f aca="true" t="shared" si="6" ref="AB12:AB24">V12/Y12</f>
        <v>4.556938664331167</v>
      </c>
      <c r="AC12" s="11">
        <f aca="true" t="shared" si="7" ref="AC12:AC24">V12/Z12</f>
        <v>2.696963699298037</v>
      </c>
      <c r="AD12" s="1"/>
      <c r="AE12" t="s">
        <v>145</v>
      </c>
      <c r="AF12" s="1">
        <v>29</v>
      </c>
      <c r="AG12" s="11">
        <f>AB12</f>
        <v>4.556938664331167</v>
      </c>
      <c r="AH12" s="1">
        <v>49</v>
      </c>
      <c r="AI12" s="11">
        <f>AC12</f>
        <v>2.696963699298037</v>
      </c>
      <c r="AK12" s="1"/>
    </row>
    <row r="13" spans="2:37" ht="12.75">
      <c r="B13" t="s">
        <v>53</v>
      </c>
      <c r="C13" t="s">
        <v>54</v>
      </c>
      <c r="F13" t="s">
        <v>55</v>
      </c>
      <c r="I13" t="s">
        <v>7</v>
      </c>
      <c r="J13" t="s">
        <v>12</v>
      </c>
      <c r="K13" s="1">
        <v>57.5</v>
      </c>
      <c r="L13" s="1">
        <v>15.7</v>
      </c>
      <c r="M13" s="1">
        <v>30.7</v>
      </c>
      <c r="N13" t="s">
        <v>25</v>
      </c>
      <c r="P13" s="10">
        <f t="shared" si="0"/>
        <v>1.2662028454004532</v>
      </c>
      <c r="Q13" s="10">
        <f t="shared" si="1"/>
        <v>1.5526335478148208</v>
      </c>
      <c r="R13" s="10">
        <f t="shared" si="2"/>
        <v>1.6280635513650221</v>
      </c>
      <c r="S13" s="11">
        <f t="shared" si="3"/>
        <v>17.964876677339344</v>
      </c>
      <c r="T13" s="6">
        <f t="shared" si="4"/>
        <v>2605.493354218904</v>
      </c>
      <c r="U13" s="13">
        <v>0.005320440849537082</v>
      </c>
      <c r="V13" s="6">
        <f t="shared" si="5"/>
        <v>135.1394678571776</v>
      </c>
      <c r="X13" t="s">
        <v>145</v>
      </c>
      <c r="Y13" s="1">
        <v>53</v>
      </c>
      <c r="Z13" s="1">
        <v>84</v>
      </c>
      <c r="AB13" s="11">
        <f t="shared" si="6"/>
        <v>2.5498012803241057</v>
      </c>
      <c r="AC13" s="11">
        <f t="shared" si="7"/>
        <v>1.608803188775924</v>
      </c>
      <c r="AD13" s="1"/>
      <c r="AE13" t="s">
        <v>145</v>
      </c>
      <c r="AF13" s="1">
        <v>53</v>
      </c>
      <c r="AG13" s="11">
        <f>AB13</f>
        <v>2.5498012803241057</v>
      </c>
      <c r="AH13" s="1">
        <v>84</v>
      </c>
      <c r="AI13" s="11">
        <f>AC13</f>
        <v>1.608803188775924</v>
      </c>
      <c r="AK13" s="1"/>
    </row>
    <row r="14" spans="6:37" ht="12.75">
      <c r="F14" t="s">
        <v>56</v>
      </c>
      <c r="I14" t="s">
        <v>7</v>
      </c>
      <c r="J14" t="s">
        <v>13</v>
      </c>
      <c r="K14" s="1">
        <v>53.6</v>
      </c>
      <c r="L14" s="1">
        <v>18.7</v>
      </c>
      <c r="M14" s="9">
        <v>37.6</v>
      </c>
      <c r="P14" s="10">
        <f t="shared" si="0"/>
        <v>1.2191549542600129</v>
      </c>
      <c r="Q14" s="10">
        <f t="shared" si="1"/>
        <v>1.4468256198851872</v>
      </c>
      <c r="R14" s="10">
        <f t="shared" si="2"/>
        <v>1.488769312829978</v>
      </c>
      <c r="S14" s="11">
        <f t="shared" si="3"/>
        <v>20.410906018589394</v>
      </c>
      <c r="T14" s="6">
        <f t="shared" si="4"/>
        <v>2960.2474283668444</v>
      </c>
      <c r="U14" s="13">
        <v>0.00453064662882732</v>
      </c>
      <c r="V14" s="6">
        <f t="shared" si="5"/>
        <v>115.078654529523</v>
      </c>
      <c r="X14" t="s">
        <v>145</v>
      </c>
      <c r="Y14" s="1">
        <v>116</v>
      </c>
      <c r="Z14" s="1">
        <v>149</v>
      </c>
      <c r="AB14" s="11">
        <f t="shared" si="6"/>
        <v>0.992057366633819</v>
      </c>
      <c r="AC14" s="11">
        <f t="shared" si="7"/>
        <v>0.7723399632853893</v>
      </c>
      <c r="AD14" s="1"/>
      <c r="AE14" t="s">
        <v>145</v>
      </c>
      <c r="AF14" s="1">
        <v>116</v>
      </c>
      <c r="AG14" s="11">
        <f>AB14</f>
        <v>0.992057366633819</v>
      </c>
      <c r="AH14" s="1">
        <v>149</v>
      </c>
      <c r="AI14" s="11">
        <f>AC14</f>
        <v>0.7723399632853893</v>
      </c>
      <c r="AK14" s="1"/>
    </row>
    <row r="15" spans="2:30" ht="12.75">
      <c r="B15" t="s">
        <v>57</v>
      </c>
      <c r="C15" t="s">
        <v>59</v>
      </c>
      <c r="I15" t="s">
        <v>7</v>
      </c>
      <c r="J15" t="s">
        <v>14</v>
      </c>
      <c r="K15" s="1">
        <v>130.6</v>
      </c>
      <c r="L15" s="1">
        <v>10.6</v>
      </c>
      <c r="M15" s="9">
        <v>37.6</v>
      </c>
      <c r="P15" s="10">
        <f t="shared" si="0"/>
        <v>1.4184724442228325</v>
      </c>
      <c r="Q15" s="10">
        <f t="shared" si="1"/>
        <v>1.918661556275719</v>
      </c>
      <c r="R15" s="10">
        <f t="shared" si="2"/>
        <v>1.488769312829978</v>
      </c>
      <c r="S15" s="11">
        <f t="shared" si="3"/>
        <v>32.2326855469129</v>
      </c>
      <c r="T15" s="6">
        <f t="shared" si="4"/>
        <v>4674.791232329644</v>
      </c>
      <c r="U15" s="13">
        <v>0.002219090879588491</v>
      </c>
      <c r="V15" s="6">
        <f t="shared" si="5"/>
        <v>56.365021071589815</v>
      </c>
      <c r="X15" t="s">
        <v>142</v>
      </c>
      <c r="Y15" s="1">
        <v>12.5</v>
      </c>
      <c r="Z15" s="1">
        <v>15</v>
      </c>
      <c r="AB15" s="11">
        <f t="shared" si="6"/>
        <v>4.509201685727185</v>
      </c>
      <c r="AC15" s="11">
        <f t="shared" si="7"/>
        <v>3.757668071439321</v>
      </c>
      <c r="AD15" s="1"/>
    </row>
    <row r="16" spans="5:35" ht="12.75">
      <c r="E16" t="s">
        <v>58</v>
      </c>
      <c r="I16" t="s">
        <v>7</v>
      </c>
      <c r="J16" t="s">
        <v>15</v>
      </c>
      <c r="K16" s="1">
        <v>78.7</v>
      </c>
      <c r="L16" s="1">
        <v>15.7</v>
      </c>
      <c r="M16" s="9">
        <v>37.6</v>
      </c>
      <c r="P16" s="10">
        <f t="shared" si="0"/>
        <v>1.2662028454004532</v>
      </c>
      <c r="Q16" s="10">
        <f t="shared" si="1"/>
        <v>1.5526335478148208</v>
      </c>
      <c r="R16" s="10">
        <f t="shared" si="2"/>
        <v>1.488769312829978</v>
      </c>
      <c r="S16" s="11">
        <f t="shared" si="3"/>
        <v>26.88902612746901</v>
      </c>
      <c r="T16" s="6">
        <f t="shared" si="4"/>
        <v>3899.7862403870936</v>
      </c>
      <c r="U16" s="13">
        <v>0.0026409159565976086</v>
      </c>
      <c r="V16" s="6">
        <f t="shared" si="5"/>
        <v>67.07939945637817</v>
      </c>
      <c r="X16" t="s">
        <v>142</v>
      </c>
      <c r="Y16" s="1">
        <v>36</v>
      </c>
      <c r="Z16" s="1">
        <v>40</v>
      </c>
      <c r="AB16" s="11">
        <f t="shared" si="6"/>
        <v>1.8633166515660602</v>
      </c>
      <c r="AC16" s="11">
        <f t="shared" si="7"/>
        <v>1.6769849864094541</v>
      </c>
      <c r="AD16" s="1"/>
      <c r="AE16" t="s">
        <v>142</v>
      </c>
      <c r="AF16" s="1">
        <f>Y15</f>
        <v>12.5</v>
      </c>
      <c r="AG16" s="11">
        <f>AB15</f>
        <v>4.509201685727185</v>
      </c>
      <c r="AH16" s="1">
        <f>Z15</f>
        <v>15</v>
      </c>
      <c r="AI16" s="11">
        <f>AC15</f>
        <v>3.757668071439321</v>
      </c>
    </row>
    <row r="17" spans="5:35" ht="12.75">
      <c r="E17" t="s">
        <v>60</v>
      </c>
      <c r="I17" t="s">
        <v>7</v>
      </c>
      <c r="J17" t="s">
        <v>16</v>
      </c>
      <c r="K17" s="1">
        <v>64</v>
      </c>
      <c r="L17" s="1">
        <v>12.5</v>
      </c>
      <c r="M17" s="9">
        <v>37.6</v>
      </c>
      <c r="P17" s="10">
        <f t="shared" si="0"/>
        <v>1.3450676452032253</v>
      </c>
      <c r="Q17" s="10">
        <f t="shared" si="1"/>
        <v>1.7377312891268575</v>
      </c>
      <c r="R17" s="10">
        <f t="shared" si="2"/>
        <v>1.488769312829978</v>
      </c>
      <c r="S17" s="11">
        <f t="shared" si="3"/>
        <v>18.3918670358721</v>
      </c>
      <c r="T17" s="6">
        <f t="shared" si="4"/>
        <v>2667.420889901682</v>
      </c>
      <c r="U17" s="13">
        <v>0.006568817624361688</v>
      </c>
      <c r="V17" s="6">
        <f t="shared" si="5"/>
        <v>166.8483013553896</v>
      </c>
      <c r="X17" t="s">
        <v>142</v>
      </c>
      <c r="Y17" s="1">
        <v>58</v>
      </c>
      <c r="Z17" s="1">
        <v>63</v>
      </c>
      <c r="AB17" s="11">
        <f t="shared" si="6"/>
        <v>2.876694850954993</v>
      </c>
      <c r="AC17" s="35">
        <f t="shared" si="7"/>
        <v>2.648385735799835</v>
      </c>
      <c r="AD17" s="1"/>
      <c r="AE17" t="s">
        <v>142</v>
      </c>
      <c r="AF17" s="1">
        <f>Y16</f>
        <v>36</v>
      </c>
      <c r="AG17" s="11">
        <f>AB16</f>
        <v>1.8633166515660602</v>
      </c>
      <c r="AH17" s="1">
        <f>Z16</f>
        <v>40</v>
      </c>
      <c r="AI17" s="11">
        <f>AC16</f>
        <v>1.6769849864094541</v>
      </c>
    </row>
    <row r="18" spans="9:35" ht="12.75">
      <c r="I18" t="s">
        <v>7</v>
      </c>
      <c r="J18" t="s">
        <v>17</v>
      </c>
      <c r="K18" s="1">
        <v>53.7</v>
      </c>
      <c r="L18" s="1">
        <v>22.7</v>
      </c>
      <c r="M18" s="9">
        <v>37.6</v>
      </c>
      <c r="P18" s="10">
        <f t="shared" si="0"/>
        <v>1.1773195142588169</v>
      </c>
      <c r="Q18" s="10">
        <f t="shared" si="1"/>
        <v>1.3556545010814731</v>
      </c>
      <c r="R18" s="10">
        <f t="shared" si="2"/>
        <v>1.488769312829978</v>
      </c>
      <c r="S18" s="11">
        <f t="shared" si="3"/>
        <v>22.599743726047926</v>
      </c>
      <c r="T18" s="6">
        <f t="shared" si="4"/>
        <v>3277.7003228495905</v>
      </c>
      <c r="U18" s="13">
        <v>0.0034874320070366594</v>
      </c>
      <c r="V18" s="6">
        <f t="shared" si="5"/>
        <v>88.58095014063143</v>
      </c>
      <c r="X18" t="s">
        <v>142</v>
      </c>
      <c r="Y18" s="1">
        <v>138</v>
      </c>
      <c r="Z18" s="1">
        <v>150</v>
      </c>
      <c r="AB18" s="11">
        <f t="shared" si="6"/>
        <v>0.6418909430480538</v>
      </c>
      <c r="AC18" s="11">
        <f t="shared" si="7"/>
        <v>0.5905396676042095</v>
      </c>
      <c r="AD18" s="1"/>
      <c r="AE18" t="s">
        <v>142</v>
      </c>
      <c r="AF18" s="1">
        <f>Y17</f>
        <v>58</v>
      </c>
      <c r="AG18" s="11">
        <f>AB17</f>
        <v>2.876694850954993</v>
      </c>
      <c r="AH18" s="1">
        <f>Z17</f>
        <v>63</v>
      </c>
      <c r="AI18" s="11">
        <f>AC17</f>
        <v>2.648385735799835</v>
      </c>
    </row>
    <row r="19" spans="9:35" ht="12.75">
      <c r="I19" t="s">
        <v>7</v>
      </c>
      <c r="J19" t="s">
        <v>18</v>
      </c>
      <c r="K19" s="1">
        <v>48.8</v>
      </c>
      <c r="L19" s="1">
        <v>11.1</v>
      </c>
      <c r="M19" s="9">
        <v>37.6</v>
      </c>
      <c r="P19" s="10">
        <f t="shared" si="0"/>
        <v>1.3963108863436386</v>
      </c>
      <c r="Q19" s="10">
        <f t="shared" si="1"/>
        <v>1.863162348817522</v>
      </c>
      <c r="R19" s="10">
        <f t="shared" si="2"/>
        <v>1.488769312829978</v>
      </c>
      <c r="S19" s="11">
        <f t="shared" si="3"/>
        <v>12.599682177895545</v>
      </c>
      <c r="T19" s="6">
        <f t="shared" si="4"/>
        <v>1827.3650729362646</v>
      </c>
      <c r="U19" s="13">
        <v>0.015676526724505844</v>
      </c>
      <c r="V19" s="6">
        <f t="shared" si="5"/>
        <v>398.1845751715988</v>
      </c>
      <c r="X19" t="s">
        <v>142</v>
      </c>
      <c r="Y19" s="1">
        <v>231</v>
      </c>
      <c r="Z19" s="1">
        <v>250</v>
      </c>
      <c r="AB19" s="11">
        <f t="shared" si="6"/>
        <v>1.7237427496606008</v>
      </c>
      <c r="AC19" s="11">
        <f t="shared" si="7"/>
        <v>1.592738300686395</v>
      </c>
      <c r="AD19" s="1"/>
      <c r="AE19" t="s">
        <v>142</v>
      </c>
      <c r="AF19" s="1">
        <f>Y18</f>
        <v>138</v>
      </c>
      <c r="AG19" s="11">
        <f>AB18</f>
        <v>0.6418909430480538</v>
      </c>
      <c r="AH19" s="1">
        <f>Z18</f>
        <v>150</v>
      </c>
      <c r="AI19" s="11">
        <f>AC18</f>
        <v>0.5905396676042095</v>
      </c>
    </row>
    <row r="20" spans="1:35" ht="12.75">
      <c r="A20" t="s">
        <v>64</v>
      </c>
      <c r="I20" t="s">
        <v>7</v>
      </c>
      <c r="J20" t="s">
        <v>19</v>
      </c>
      <c r="K20" s="1">
        <v>293.8</v>
      </c>
      <c r="L20" s="1">
        <v>5.3</v>
      </c>
      <c r="M20" s="9">
        <v>37.6</v>
      </c>
      <c r="P20" s="10">
        <f aca="true" t="shared" si="8" ref="P20:P25">($N$3/$M$7)^(1/L20)</f>
        <v>2.0120640750194965</v>
      </c>
      <c r="Q20" s="10">
        <f aca="true" t="shared" si="9" ref="Q20:Q25">1/((LN(1/(1-$N$4)))^(1/L20))</f>
        <v>3.681262167530364</v>
      </c>
      <c r="R20" s="10">
        <f aca="true" t="shared" si="10" ref="R20:R25">($N$5/$M$8)^(1/M20)</f>
        <v>1.488769312829978</v>
      </c>
      <c r="S20" s="11">
        <f t="shared" si="3"/>
        <v>26.643165875383907</v>
      </c>
      <c r="T20" s="6">
        <f t="shared" si="4"/>
        <v>3864.128480838855</v>
      </c>
      <c r="U20" s="13">
        <v>0.00610778155328314</v>
      </c>
      <c r="V20" s="6">
        <f t="shared" si="5"/>
        <v>155.13796172931524</v>
      </c>
      <c r="X20" s="16" t="s">
        <v>147</v>
      </c>
      <c r="Y20" s="17"/>
      <c r="Z20" s="17"/>
      <c r="AA20" s="18"/>
      <c r="AB20" s="17"/>
      <c r="AC20" s="19"/>
      <c r="AD20" s="1"/>
      <c r="AE20" t="s">
        <v>142</v>
      </c>
      <c r="AF20" s="1">
        <f>Y19</f>
        <v>231</v>
      </c>
      <c r="AG20" s="11">
        <f>AB19</f>
        <v>1.7237427496606008</v>
      </c>
      <c r="AH20" s="1">
        <f>Z19</f>
        <v>250</v>
      </c>
      <c r="AI20" s="11">
        <f>AC19</f>
        <v>1.592738300686395</v>
      </c>
    </row>
    <row r="21" spans="9:30" ht="12.75">
      <c r="I21" t="s">
        <v>7</v>
      </c>
      <c r="J21" t="s">
        <v>20</v>
      </c>
      <c r="K21" s="1">
        <v>219.8</v>
      </c>
      <c r="L21" s="1">
        <v>6</v>
      </c>
      <c r="M21" s="9">
        <v>37.6</v>
      </c>
      <c r="P21" s="10">
        <f t="shared" si="8"/>
        <v>1.8544576908598662</v>
      </c>
      <c r="Q21" s="10">
        <f t="shared" si="9"/>
        <v>3.162014038151734</v>
      </c>
      <c r="R21" s="10">
        <f t="shared" si="10"/>
        <v>1.488769312829978</v>
      </c>
      <c r="S21" s="11">
        <f t="shared" si="3"/>
        <v>25.177903032450622</v>
      </c>
      <c r="T21" s="6">
        <f t="shared" si="4"/>
        <v>3651.6175536549126</v>
      </c>
      <c r="U21" s="13">
        <v>0.005973289261028265</v>
      </c>
      <c r="V21" s="6">
        <f t="shared" si="5"/>
        <v>151.7218506738193</v>
      </c>
      <c r="X21" s="20" t="s">
        <v>146</v>
      </c>
      <c r="Y21" s="21"/>
      <c r="Z21" s="21"/>
      <c r="AA21" s="22"/>
      <c r="AB21" s="21"/>
      <c r="AC21" s="23"/>
      <c r="AD21" s="1"/>
    </row>
    <row r="22" spans="2:30" ht="12.75">
      <c r="B22" t="s">
        <v>65</v>
      </c>
      <c r="I22" t="s">
        <v>7</v>
      </c>
      <c r="J22" t="s">
        <v>21</v>
      </c>
      <c r="K22" s="1">
        <v>192.7</v>
      </c>
      <c r="L22" s="1">
        <v>10.7</v>
      </c>
      <c r="M22" s="9">
        <v>37.6</v>
      </c>
      <c r="P22" s="10">
        <f t="shared" si="8"/>
        <v>1.413845703789933</v>
      </c>
      <c r="Q22" s="10">
        <f t="shared" si="9"/>
        <v>1.9070124535897457</v>
      </c>
      <c r="R22" s="10">
        <f t="shared" si="10"/>
        <v>1.488769312829978</v>
      </c>
      <c r="S22" s="11">
        <f t="shared" si="3"/>
        <v>48.00635812626272</v>
      </c>
      <c r="T22" s="6">
        <f t="shared" si="4"/>
        <v>6962.488488217943</v>
      </c>
      <c r="U22" s="13">
        <v>0.0009452330866693871</v>
      </c>
      <c r="V22" s="6">
        <f t="shared" si="5"/>
        <v>24.008968419339272</v>
      </c>
      <c r="X22" s="20" t="s">
        <v>142</v>
      </c>
      <c r="Y22" s="21">
        <v>58</v>
      </c>
      <c r="Z22" s="21">
        <v>63</v>
      </c>
      <c r="AA22" s="22"/>
      <c r="AB22" s="21">
        <f t="shared" si="6"/>
        <v>0.41394773136791846</v>
      </c>
      <c r="AC22" s="23">
        <f t="shared" si="7"/>
        <v>0.3810947368149091</v>
      </c>
      <c r="AD22" s="1"/>
    </row>
    <row r="23" spans="4:30" ht="12.75">
      <c r="D23" s="1" t="s">
        <v>6</v>
      </c>
      <c r="E23" s="1"/>
      <c r="F23" s="1"/>
      <c r="I23" t="s">
        <v>23</v>
      </c>
      <c r="J23" t="s">
        <v>11</v>
      </c>
      <c r="K23" s="1">
        <v>66.6</v>
      </c>
      <c r="L23" s="1">
        <v>16.7</v>
      </c>
      <c r="M23" s="9">
        <v>37.6</v>
      </c>
      <c r="P23" s="10">
        <f t="shared" si="8"/>
        <v>1.2484333563207066</v>
      </c>
      <c r="Q23" s="10">
        <f t="shared" si="9"/>
        <v>1.5122643362742025</v>
      </c>
      <c r="R23" s="10">
        <f t="shared" si="10"/>
        <v>1.488769312829978</v>
      </c>
      <c r="S23" s="11">
        <f t="shared" si="3"/>
        <v>23.694838155164625</v>
      </c>
      <c r="T23" s="6">
        <f t="shared" si="4"/>
        <v>3436.5247505677485</v>
      </c>
      <c r="U23" s="13">
        <v>0.003496915714008862</v>
      </c>
      <c r="V23" s="6">
        <f t="shared" si="5"/>
        <v>88.82183677949867</v>
      </c>
      <c r="X23" s="20" t="s">
        <v>142</v>
      </c>
      <c r="Y23" s="21">
        <v>29</v>
      </c>
      <c r="Z23" s="21">
        <v>49</v>
      </c>
      <c r="AA23" s="22"/>
      <c r="AB23" s="21">
        <f t="shared" si="6"/>
        <v>3.062821957913747</v>
      </c>
      <c r="AC23" s="23">
        <f t="shared" si="7"/>
        <v>1.8126905465203809</v>
      </c>
      <c r="AD23" s="1"/>
    </row>
    <row r="24" spans="2:30" ht="12.75">
      <c r="B24" t="s">
        <v>66</v>
      </c>
      <c r="D24" s="2">
        <v>293.8</v>
      </c>
      <c r="E24" s="2">
        <v>5.3</v>
      </c>
      <c r="F24" s="7">
        <v>37.5788</v>
      </c>
      <c r="I24" t="s">
        <v>22</v>
      </c>
      <c r="J24" t="s">
        <v>16</v>
      </c>
      <c r="K24" s="1">
        <v>63.9</v>
      </c>
      <c r="L24" s="1">
        <v>12.5</v>
      </c>
      <c r="M24" s="9">
        <v>37.6</v>
      </c>
      <c r="P24" s="10">
        <f t="shared" si="8"/>
        <v>1.3450676452032253</v>
      </c>
      <c r="Q24" s="10">
        <f t="shared" si="9"/>
        <v>1.7377312891268575</v>
      </c>
      <c r="R24" s="10">
        <f t="shared" si="10"/>
        <v>1.488769312829978</v>
      </c>
      <c r="S24" s="11">
        <f t="shared" si="3"/>
        <v>18.363129743628548</v>
      </c>
      <c r="T24" s="6">
        <f t="shared" si="4"/>
        <v>2663.2530447612107</v>
      </c>
      <c r="U24" s="13">
        <v>0.00658939339132336</v>
      </c>
      <c r="V24" s="6">
        <f t="shared" si="5"/>
        <v>167.3709268814671</v>
      </c>
      <c r="X24" s="20" t="s">
        <v>142</v>
      </c>
      <c r="Y24" s="21">
        <v>58</v>
      </c>
      <c r="Z24" s="21">
        <v>63</v>
      </c>
      <c r="AA24" s="22"/>
      <c r="AB24" s="21">
        <f t="shared" si="6"/>
        <v>2.885705635887364</v>
      </c>
      <c r="AC24" s="23">
        <f t="shared" si="7"/>
        <v>2.6566813790709065</v>
      </c>
      <c r="AD24" s="1"/>
    </row>
    <row r="25" spans="2:30" ht="12.75">
      <c r="B25" t="s">
        <v>67</v>
      </c>
      <c r="D25" s="2">
        <v>4560</v>
      </c>
      <c r="E25" t="s">
        <v>68</v>
      </c>
      <c r="I25" t="s">
        <v>22</v>
      </c>
      <c r="J25" t="s">
        <v>20</v>
      </c>
      <c r="K25" s="1">
        <v>291.6</v>
      </c>
      <c r="L25" s="1">
        <v>3.8</v>
      </c>
      <c r="M25" s="9">
        <v>37.6</v>
      </c>
      <c r="P25" s="10">
        <f t="shared" si="8"/>
        <v>2.651553626009957</v>
      </c>
      <c r="Q25" s="10">
        <f t="shared" si="9"/>
        <v>6.157671499580888</v>
      </c>
      <c r="R25" s="10">
        <f t="shared" si="10"/>
        <v>1.488769312829978</v>
      </c>
      <c r="S25" s="11">
        <f t="shared" si="3"/>
        <v>11.99618570177959</v>
      </c>
      <c r="T25" s="6">
        <f t="shared" si="4"/>
        <v>1739.8383903958795</v>
      </c>
      <c r="U25" s="13">
        <v>0.05555891847641179</v>
      </c>
      <c r="V25" s="6">
        <f t="shared" si="5"/>
        <v>1411.199351699563</v>
      </c>
      <c r="X25" s="24" t="s">
        <v>146</v>
      </c>
      <c r="Y25" s="25"/>
      <c r="Z25" s="25"/>
      <c r="AA25" s="26"/>
      <c r="AB25" s="25"/>
      <c r="AC25" s="27"/>
      <c r="AD25" s="1"/>
    </row>
    <row r="26" spans="2:30" ht="12.75">
      <c r="B26" t="s">
        <v>69</v>
      </c>
      <c r="D26" s="2">
        <v>0.001</v>
      </c>
      <c r="K26" s="1"/>
      <c r="L26" s="1"/>
      <c r="AB26" s="1"/>
      <c r="AC26" s="1"/>
      <c r="AD26" s="1"/>
    </row>
    <row r="27" spans="2:24" ht="12.75">
      <c r="B27" t="s">
        <v>73</v>
      </c>
      <c r="D27" s="8">
        <v>172800</v>
      </c>
      <c r="E27" t="s">
        <v>74</v>
      </c>
      <c r="K27" s="1"/>
      <c r="L27" s="1"/>
      <c r="X27" t="s">
        <v>150</v>
      </c>
    </row>
    <row r="28" spans="11:30" ht="12.75">
      <c r="K28" s="1"/>
      <c r="L28" s="1"/>
      <c r="M28" s="1"/>
      <c r="U28" s="15"/>
      <c r="Z28" t="s">
        <v>143</v>
      </c>
      <c r="AB28" s="28">
        <f>AVERAGE(AB11:AB19)</f>
        <v>2.5843557429724644</v>
      </c>
      <c r="AC28" s="28">
        <f>AVERAGE(AC11:AC19)</f>
        <v>1.8915442462177106</v>
      </c>
      <c r="AD28" s="29"/>
    </row>
    <row r="29" spans="3:29" ht="12.75">
      <c r="C29" t="s">
        <v>70</v>
      </c>
      <c r="D29">
        <f>(D25/M7)^(1/E24)</f>
        <v>2.009080941163406</v>
      </c>
      <c r="K29" s="1"/>
      <c r="L29" s="1"/>
      <c r="M29" s="9">
        <v>37.6</v>
      </c>
      <c r="N29" s="32" t="s">
        <v>161</v>
      </c>
      <c r="Z29" t="s">
        <v>151</v>
      </c>
      <c r="AB29" s="28">
        <f>STDEV(AB11:AB19)</f>
        <v>1.4219623751571835</v>
      </c>
      <c r="AC29" s="28">
        <f>STDEV(AC11:AC19)</f>
        <v>0.9943210947460679</v>
      </c>
    </row>
    <row r="30" spans="3:29" ht="12.75">
      <c r="C30" t="s">
        <v>71</v>
      </c>
      <c r="D30">
        <f>1/((LN(1/(1-D26)))^(1/E24))</f>
        <v>3.681262167530364</v>
      </c>
      <c r="I30" t="s">
        <v>26</v>
      </c>
      <c r="R30" s="1"/>
      <c r="AB30" s="28"/>
      <c r="AC30" s="28"/>
    </row>
    <row r="31" spans="3:29" ht="12.75">
      <c r="C31" t="s">
        <v>72</v>
      </c>
      <c r="D31">
        <f>(D27/M8)^(1/F24)</f>
        <v>1.2964751925287394</v>
      </c>
      <c r="R31" s="3"/>
      <c r="Z31" t="s">
        <v>152</v>
      </c>
      <c r="AB31" s="28">
        <f>AB28+3*AB29</f>
        <v>6.850242868444015</v>
      </c>
      <c r="AC31" s="28">
        <f>AC28+3*AC29</f>
        <v>4.874507530455914</v>
      </c>
    </row>
    <row r="32" spans="10:12" ht="12.75">
      <c r="J32" s="1" t="s">
        <v>27</v>
      </c>
      <c r="K32" s="1" t="s">
        <v>28</v>
      </c>
      <c r="L32" t="s">
        <v>29</v>
      </c>
    </row>
    <row r="33" spans="2:25" ht="15">
      <c r="B33" s="39" t="s">
        <v>77</v>
      </c>
      <c r="C33" s="39"/>
      <c r="D33" s="5">
        <f>D24/(D29*D30*D31)</f>
        <v>30.64032721409978</v>
      </c>
      <c r="E33" s="4" t="s">
        <v>78</v>
      </c>
      <c r="J33" s="1" t="s">
        <v>30</v>
      </c>
      <c r="K33" s="1" t="s">
        <v>30</v>
      </c>
      <c r="Y33" t="s">
        <v>153</v>
      </c>
    </row>
    <row r="34" spans="3:30" ht="12.75">
      <c r="C34" t="s">
        <v>79</v>
      </c>
      <c r="D34" s="6">
        <f>D33*1000000/6895</f>
        <v>4443.847311689598</v>
      </c>
      <c r="E34" t="s">
        <v>80</v>
      </c>
      <c r="I34" t="s">
        <v>31</v>
      </c>
      <c r="J34" s="1"/>
      <c r="K34" s="1"/>
      <c r="Z34" t="s">
        <v>143</v>
      </c>
      <c r="AB34" s="3">
        <f>AVERAGE(AB11:AB14)</f>
        <v>2.911088701448822</v>
      </c>
      <c r="AC34" s="3">
        <f>AVERAGE(AC11:AC14)</f>
        <v>1.689395363505045</v>
      </c>
      <c r="AD34" s="29"/>
    </row>
    <row r="35" spans="9:29" ht="12.75">
      <c r="I35" t="s">
        <v>18</v>
      </c>
      <c r="J35" s="1">
        <v>231</v>
      </c>
      <c r="K35" s="1">
        <v>250</v>
      </c>
      <c r="L35" s="1" t="s">
        <v>34</v>
      </c>
      <c r="Z35" t="s">
        <v>151</v>
      </c>
      <c r="AB35" s="3">
        <f>STDEV(AB11:AB14)</f>
        <v>1.519274236200551</v>
      </c>
      <c r="AC35" s="3">
        <f>STDEV(AC11:AC14)</f>
        <v>0.7879885951983471</v>
      </c>
    </row>
    <row r="36" spans="9:29" ht="12.75">
      <c r="I36" t="s">
        <v>17</v>
      </c>
      <c r="J36" s="1">
        <v>138</v>
      </c>
      <c r="K36" s="1">
        <v>150</v>
      </c>
      <c r="L36" s="1" t="s">
        <v>35</v>
      </c>
      <c r="AB36" s="3"/>
      <c r="AC36" s="3"/>
    </row>
    <row r="37" spans="9:29" ht="12.75">
      <c r="I37" t="s">
        <v>32</v>
      </c>
      <c r="J37" s="1">
        <v>95</v>
      </c>
      <c r="K37" s="1">
        <v>106</v>
      </c>
      <c r="L37" s="1" t="s">
        <v>36</v>
      </c>
      <c r="Y37" t="s">
        <v>154</v>
      </c>
      <c r="AB37" s="3"/>
      <c r="AC37" s="3"/>
    </row>
    <row r="38" spans="9:30" ht="12.75">
      <c r="I38" t="s">
        <v>16</v>
      </c>
      <c r="J38" s="1">
        <v>58</v>
      </c>
      <c r="K38" s="1">
        <v>63</v>
      </c>
      <c r="L38" s="1" t="s">
        <v>37</v>
      </c>
      <c r="Z38" t="s">
        <v>143</v>
      </c>
      <c r="AB38" s="3">
        <f>AVERAGE(AB15:AB19)</f>
        <v>2.3229693761913786</v>
      </c>
      <c r="AC38" s="3">
        <f>AVERAGE(AC15:AC19)</f>
        <v>2.053263352387843</v>
      </c>
      <c r="AD38" s="29"/>
    </row>
    <row r="39" spans="9:29" ht="12.75">
      <c r="I39" t="s">
        <v>15</v>
      </c>
      <c r="J39" s="1">
        <v>36</v>
      </c>
      <c r="K39" s="1">
        <v>40</v>
      </c>
      <c r="L39" s="1"/>
      <c r="Z39" t="s">
        <v>151</v>
      </c>
      <c r="AB39" s="3">
        <f>STDEV(AB15:AB19)</f>
        <v>1.4562452994120707</v>
      </c>
      <c r="AC39" s="3">
        <f>STDEV(AC15:AC19)</f>
        <v>1.1992075933233906</v>
      </c>
    </row>
    <row r="40" spans="9:12" ht="12.75">
      <c r="I40" t="s">
        <v>33</v>
      </c>
      <c r="J40" s="1">
        <v>12.5</v>
      </c>
      <c r="K40" s="1">
        <v>15</v>
      </c>
      <c r="L40" s="1"/>
    </row>
    <row r="41" spans="10:11" ht="12.75">
      <c r="J41" s="1"/>
      <c r="K41" s="1"/>
    </row>
    <row r="42" spans="9:11" ht="12.75">
      <c r="I42" t="s">
        <v>38</v>
      </c>
      <c r="J42" s="1"/>
      <c r="K42" s="1"/>
    </row>
    <row r="43" spans="9:11" ht="12.75">
      <c r="I43" t="s">
        <v>13</v>
      </c>
      <c r="J43" s="1">
        <v>116</v>
      </c>
      <c r="K43" s="1">
        <v>149</v>
      </c>
    </row>
    <row r="44" spans="9:11" ht="12.75">
      <c r="I44" t="s">
        <v>12</v>
      </c>
      <c r="J44" s="1">
        <v>53</v>
      </c>
      <c r="K44" s="1">
        <v>84</v>
      </c>
    </row>
    <row r="45" spans="9:11" ht="12.75">
      <c r="I45" t="s">
        <v>11</v>
      </c>
      <c r="J45" s="1">
        <v>29</v>
      </c>
      <c r="K45" s="1">
        <v>49</v>
      </c>
    </row>
    <row r="46" spans="9:11" ht="12.75">
      <c r="I46" t="s">
        <v>10</v>
      </c>
      <c r="J46" s="1">
        <v>9</v>
      </c>
      <c r="K46" s="1">
        <v>19</v>
      </c>
    </row>
    <row r="48" spans="11:13" ht="12.75">
      <c r="K48" s="1"/>
      <c r="L48" s="1"/>
      <c r="M48" s="1"/>
    </row>
    <row r="49" spans="1:13" ht="12.75">
      <c r="A49" t="s">
        <v>116</v>
      </c>
      <c r="K49" s="1"/>
      <c r="L49" s="1"/>
      <c r="M49" s="1"/>
    </row>
    <row r="50" spans="11:13" ht="12.75">
      <c r="K50" s="1"/>
      <c r="L50" s="1"/>
      <c r="M50" s="1"/>
    </row>
    <row r="51" spans="2:13" ht="12.75">
      <c r="B51" t="s">
        <v>165</v>
      </c>
      <c r="K51" s="1"/>
      <c r="L51" s="1"/>
      <c r="M51" s="1"/>
    </row>
    <row r="52" spans="2:13" ht="12.75">
      <c r="B52" t="s">
        <v>126</v>
      </c>
      <c r="K52" s="1"/>
      <c r="L52" s="1"/>
      <c r="M52" s="1"/>
    </row>
    <row r="53" spans="5:12" ht="12.75">
      <c r="E53" t="s">
        <v>117</v>
      </c>
      <c r="K53" s="1"/>
      <c r="L53" s="1"/>
    </row>
    <row r="54" spans="5:13" ht="12.75">
      <c r="E54" t="s">
        <v>118</v>
      </c>
      <c r="K54" s="1"/>
      <c r="L54" s="1"/>
      <c r="M54" s="1"/>
    </row>
    <row r="55" spans="2:13" ht="12.75">
      <c r="B55" t="s">
        <v>119</v>
      </c>
      <c r="K55" s="1"/>
      <c r="L55" s="1"/>
      <c r="M55" s="1"/>
    </row>
    <row r="56" ht="12.75">
      <c r="C56" t="s">
        <v>120</v>
      </c>
    </row>
    <row r="57" spans="16:20" ht="12.75">
      <c r="P57" t="s">
        <v>162</v>
      </c>
      <c r="Q57">
        <v>254</v>
      </c>
      <c r="R57" s="32" t="s">
        <v>163</v>
      </c>
      <c r="S57">
        <v>6</v>
      </c>
      <c r="T57" t="s">
        <v>164</v>
      </c>
    </row>
    <row r="58" spans="2:7" ht="12.75">
      <c r="B58" t="s">
        <v>121</v>
      </c>
      <c r="F58" t="s">
        <v>125</v>
      </c>
      <c r="G58">
        <v>3.141592654</v>
      </c>
    </row>
    <row r="60" spans="2:12" ht="12.75">
      <c r="B60" s="1"/>
      <c r="C60" s="1" t="s">
        <v>122</v>
      </c>
      <c r="D60" s="1" t="s">
        <v>124</v>
      </c>
      <c r="E60" s="1" t="s">
        <v>123</v>
      </c>
      <c r="F60" s="1" t="s">
        <v>127</v>
      </c>
      <c r="G60" s="1"/>
      <c r="H60" s="1"/>
      <c r="I60" s="14"/>
      <c r="J60" s="14"/>
      <c r="K60" s="14"/>
      <c r="L60" s="14"/>
    </row>
    <row r="61" spans="2:19" ht="12.75">
      <c r="B61" s="1"/>
      <c r="C61" s="1"/>
      <c r="D61" s="1"/>
      <c r="E61" s="1"/>
      <c r="F61" s="1"/>
      <c r="G61" s="1"/>
      <c r="H61" s="1"/>
      <c r="I61" s="1" t="s">
        <v>129</v>
      </c>
      <c r="J61" s="1" t="s">
        <v>128</v>
      </c>
      <c r="K61" s="1" t="s">
        <v>123</v>
      </c>
      <c r="L61" s="1" t="s">
        <v>127</v>
      </c>
      <c r="M61" s="1" t="s">
        <v>132</v>
      </c>
      <c r="O61" s="1" t="s">
        <v>129</v>
      </c>
      <c r="P61" s="1" t="s">
        <v>128</v>
      </c>
      <c r="Q61" s="1" t="s">
        <v>123</v>
      </c>
      <c r="R61" s="1" t="s">
        <v>127</v>
      </c>
      <c r="S61" s="1" t="s">
        <v>132</v>
      </c>
    </row>
    <row r="62" spans="2:19" ht="12.75">
      <c r="B62" s="1"/>
      <c r="C62" s="1">
        <v>0.001</v>
      </c>
      <c r="D62" s="1">
        <v>3000</v>
      </c>
      <c r="E62" s="3">
        <f>1.12*D62*(pi*C62)^0.5</f>
        <v>188.32770488326568</v>
      </c>
      <c r="F62" s="12">
        <f>EXP((E62-245)/6)</f>
        <v>7.905375297622074E-05</v>
      </c>
      <c r="G62" s="1"/>
      <c r="H62" s="1"/>
      <c r="I62" s="1" t="s">
        <v>130</v>
      </c>
      <c r="J62" s="1"/>
      <c r="K62" s="1"/>
      <c r="L62" s="1" t="s">
        <v>131</v>
      </c>
      <c r="M62" s="1"/>
      <c r="O62" s="1" t="s">
        <v>130</v>
      </c>
      <c r="P62" s="1"/>
      <c r="Q62" s="1"/>
      <c r="R62" s="1" t="s">
        <v>131</v>
      </c>
      <c r="S62" s="1"/>
    </row>
    <row r="63" spans="2:19" ht="12.75">
      <c r="B63" s="1"/>
      <c r="C63" s="1"/>
      <c r="D63" s="1"/>
      <c r="E63" s="1"/>
      <c r="F63" s="1"/>
      <c r="G63" s="1"/>
      <c r="H63" s="1"/>
      <c r="I63" s="1">
        <v>0</v>
      </c>
      <c r="J63" s="1">
        <f>C62</f>
        <v>0.001</v>
      </c>
      <c r="K63" s="3">
        <f>1.12*$D$62*(pi*J63)^0.5</f>
        <v>188.32770488326568</v>
      </c>
      <c r="L63" s="12">
        <f>EXP((K63-254)/6)</f>
        <v>1.7639276561918547E-05</v>
      </c>
      <c r="M63" s="12">
        <f>0.1*J63/L63</f>
        <v>5.669166739858828</v>
      </c>
      <c r="O63" s="1">
        <v>0</v>
      </c>
      <c r="P63" s="1">
        <f>C62</f>
        <v>0.001</v>
      </c>
      <c r="Q63" s="3">
        <f>1.12*$D$62*(pi*P63)^0.5</f>
        <v>188.32770488326568</v>
      </c>
      <c r="R63" s="12">
        <f>EXP((Q63-$Q$57)/$S$57)</f>
        <v>1.7639276561918547E-05</v>
      </c>
      <c r="S63" s="12">
        <f>0.1*P63/R63</f>
        <v>5.669166739858828</v>
      </c>
    </row>
    <row r="64" spans="2:19" ht="12.75">
      <c r="B64" s="1"/>
      <c r="C64" s="1"/>
      <c r="D64" s="1"/>
      <c r="E64" s="1"/>
      <c r="F64" s="1"/>
      <c r="G64" s="1"/>
      <c r="H64" s="1"/>
      <c r="I64" s="12">
        <f>I63+M63</f>
        <v>5.669166739858828</v>
      </c>
      <c r="J64" s="12">
        <f>J63+M63*L63</f>
        <v>0.0011</v>
      </c>
      <c r="K64" s="3">
        <f>1.12*$D$62*(pi*J64)^0.5</f>
        <v>197.5197632371461</v>
      </c>
      <c r="L64" s="12">
        <f aca="true" t="shared" si="11" ref="L64:L89">EXP((K64-254)/6)</f>
        <v>8.162517766179685E-05</v>
      </c>
      <c r="M64" s="12">
        <f>0.1*J64/L64</f>
        <v>1.3476234067847364</v>
      </c>
      <c r="O64" s="12">
        <f>O63+S63</f>
        <v>5.669166739858828</v>
      </c>
      <c r="P64" s="12">
        <f>P63+S63*R63</f>
        <v>0.0011</v>
      </c>
      <c r="Q64" s="3">
        <f>1.12*$D$62*(pi*P64)^0.5</f>
        <v>197.5197632371461</v>
      </c>
      <c r="R64" s="12">
        <f aca="true" t="shared" si="12" ref="R64:R104">EXP((Q64-$Q$57)/$S$57)</f>
        <v>8.162517766179685E-05</v>
      </c>
      <c r="S64" s="12">
        <f>0.1*P64/R64</f>
        <v>1.3476234067847364</v>
      </c>
    </row>
    <row r="65" spans="2:19" ht="12.75">
      <c r="B65" s="1"/>
      <c r="C65" s="1"/>
      <c r="D65" s="1"/>
      <c r="E65" s="1"/>
      <c r="F65" s="1"/>
      <c r="G65" s="1"/>
      <c r="H65" s="1"/>
      <c r="I65" s="12">
        <f aca="true" t="shared" si="13" ref="I65:I73">I64+M64</f>
        <v>7.016790146643564</v>
      </c>
      <c r="J65" s="12">
        <f aca="true" t="shared" si="14" ref="J65:J73">J64+M64*L64</f>
        <v>0.0012100000000000001</v>
      </c>
      <c r="K65" s="3">
        <f aca="true" t="shared" si="15" ref="K65:K89">1.12*$D$62*(pi*J65)^0.5</f>
        <v>207.16047537159227</v>
      </c>
      <c r="L65" s="12">
        <f t="shared" si="11"/>
        <v>0.0004070447457821723</v>
      </c>
      <c r="M65" s="12">
        <f aca="true" t="shared" si="16" ref="M65:M73">0.1*J65/L65</f>
        <v>0.29726461587776515</v>
      </c>
      <c r="O65" s="12">
        <f>O64+S64</f>
        <v>7.016790146643564</v>
      </c>
      <c r="P65" s="12">
        <f>P64+S64*R64</f>
        <v>0.0012100000000000001</v>
      </c>
      <c r="Q65" s="3">
        <f aca="true" t="shared" si="17" ref="Q65:Q104">1.12*$D$62*(pi*P65)^0.5</f>
        <v>207.16047537159227</v>
      </c>
      <c r="R65" s="12">
        <f t="shared" si="12"/>
        <v>0.0004070447457821723</v>
      </c>
      <c r="S65" s="12">
        <f>0.1*P65/R65</f>
        <v>0.29726461587776515</v>
      </c>
    </row>
    <row r="66" spans="2:19" ht="12.75">
      <c r="B66" s="1"/>
      <c r="C66" s="1"/>
      <c r="D66" s="1"/>
      <c r="E66" s="1"/>
      <c r="F66" s="1"/>
      <c r="G66" s="1"/>
      <c r="H66" s="1"/>
      <c r="I66" s="12">
        <f t="shared" si="13"/>
        <v>7.314054762521329</v>
      </c>
      <c r="J66" s="12">
        <f t="shared" si="14"/>
        <v>0.0013310000000000002</v>
      </c>
      <c r="K66" s="3">
        <f t="shared" si="15"/>
        <v>217.27173956086074</v>
      </c>
      <c r="L66" s="12">
        <f t="shared" si="11"/>
        <v>0.002195431343630144</v>
      </c>
      <c r="M66" s="12">
        <f t="shared" si="16"/>
        <v>0.060625899500878606</v>
      </c>
      <c r="O66" s="12">
        <f aca="true" t="shared" si="18" ref="O66:O89">O65+S65</f>
        <v>7.314054762521329</v>
      </c>
      <c r="P66" s="12">
        <f aca="true" t="shared" si="19" ref="P66:P89">P65+S65*R65</f>
        <v>0.0013310000000000002</v>
      </c>
      <c r="Q66" s="3">
        <f t="shared" si="17"/>
        <v>217.27173956086074</v>
      </c>
      <c r="R66" s="12">
        <f t="shared" si="12"/>
        <v>0.002195431343630144</v>
      </c>
      <c r="S66" s="12">
        <f aca="true" t="shared" si="20" ref="S66:S89">0.1*P66/R66</f>
        <v>0.060625899500878606</v>
      </c>
    </row>
    <row r="67" spans="2:19" ht="12.75">
      <c r="B67" s="1"/>
      <c r="C67" s="1"/>
      <c r="D67" s="1"/>
      <c r="E67" s="1"/>
      <c r="F67" s="1"/>
      <c r="G67" s="1"/>
      <c r="H67" s="1"/>
      <c r="I67" s="12">
        <f t="shared" si="13"/>
        <v>7.374680662022208</v>
      </c>
      <c r="J67" s="12">
        <f t="shared" si="14"/>
        <v>0.0014641</v>
      </c>
      <c r="K67" s="3">
        <f t="shared" si="15"/>
        <v>227.8765229087515</v>
      </c>
      <c r="L67" s="12">
        <f t="shared" si="11"/>
        <v>0.012856408853083959</v>
      </c>
      <c r="M67" s="12">
        <f t="shared" si="16"/>
        <v>0.01138809458170581</v>
      </c>
      <c r="O67" s="12">
        <f t="shared" si="18"/>
        <v>7.374680662022208</v>
      </c>
      <c r="P67" s="12">
        <f t="shared" si="19"/>
        <v>0.0014641</v>
      </c>
      <c r="Q67" s="3">
        <f t="shared" si="17"/>
        <v>227.8765229087515</v>
      </c>
      <c r="R67" s="12">
        <f t="shared" si="12"/>
        <v>0.012856408853083959</v>
      </c>
      <c r="S67" s="12">
        <f t="shared" si="20"/>
        <v>0.01138809458170581</v>
      </c>
    </row>
    <row r="68" spans="2:19" ht="12.75">
      <c r="B68" s="1"/>
      <c r="C68" s="1"/>
      <c r="D68" s="1"/>
      <c r="E68" s="1"/>
      <c r="F68" s="1"/>
      <c r="G68" s="1"/>
      <c r="H68" s="1"/>
      <c r="I68" s="12">
        <f t="shared" si="13"/>
        <v>7.3860687566039145</v>
      </c>
      <c r="J68" s="12">
        <f t="shared" si="14"/>
        <v>0.0016105100000000001</v>
      </c>
      <c r="K68" s="3">
        <f t="shared" si="15"/>
        <v>238.9989135169468</v>
      </c>
      <c r="L68" s="12">
        <f t="shared" si="11"/>
        <v>0.08207013597628617</v>
      </c>
      <c r="M68" s="12">
        <f t="shared" si="16"/>
        <v>0.0019623581475061167</v>
      </c>
      <c r="O68" s="12">
        <f t="shared" si="18"/>
        <v>7.3860687566039145</v>
      </c>
      <c r="P68" s="12">
        <f t="shared" si="19"/>
        <v>0.0016105100000000001</v>
      </c>
      <c r="Q68" s="3">
        <f t="shared" si="17"/>
        <v>238.9989135169468</v>
      </c>
      <c r="R68" s="12">
        <f t="shared" si="12"/>
        <v>0.08207013597628617</v>
      </c>
      <c r="S68" s="12">
        <f t="shared" si="20"/>
        <v>0.0019623581475061167</v>
      </c>
    </row>
    <row r="69" spans="9:19" ht="12.75">
      <c r="I69" s="12">
        <f t="shared" si="13"/>
        <v>7.388031114751421</v>
      </c>
      <c r="J69" s="12">
        <f t="shared" si="14"/>
        <v>0.001771561</v>
      </c>
      <c r="K69" s="3">
        <f t="shared" si="15"/>
        <v>250.6641751996266</v>
      </c>
      <c r="L69" s="12">
        <f t="shared" si="11"/>
        <v>0.5735152222400166</v>
      </c>
      <c r="M69" s="12">
        <f t="shared" si="16"/>
        <v>0.0003088952012608656</v>
      </c>
      <c r="O69" s="12">
        <f t="shared" si="18"/>
        <v>7.388031114751421</v>
      </c>
      <c r="P69" s="12">
        <f t="shared" si="19"/>
        <v>0.001771561</v>
      </c>
      <c r="Q69" s="3">
        <f t="shared" si="17"/>
        <v>250.6641751996266</v>
      </c>
      <c r="R69" s="12">
        <f t="shared" si="12"/>
        <v>0.5735152222400166</v>
      </c>
      <c r="S69" s="12">
        <f t="shared" si="20"/>
        <v>0.0003088952012608656</v>
      </c>
    </row>
    <row r="70" spans="9:19" ht="12.75">
      <c r="I70" s="12">
        <f t="shared" si="13"/>
        <v>7.388340009952682</v>
      </c>
      <c r="J70" s="12">
        <f t="shared" si="14"/>
        <v>0.0019487171</v>
      </c>
      <c r="K70" s="3">
        <f t="shared" si="15"/>
        <v>262.89880486864143</v>
      </c>
      <c r="L70" s="12">
        <f t="shared" si="11"/>
        <v>4.406735406876083</v>
      </c>
      <c r="M70" s="12">
        <f t="shared" si="16"/>
        <v>4.422133212171769E-05</v>
      </c>
      <c r="O70" s="12">
        <f t="shared" si="18"/>
        <v>7.388340009952682</v>
      </c>
      <c r="P70" s="12">
        <f t="shared" si="19"/>
        <v>0.0019487171</v>
      </c>
      <c r="Q70" s="3">
        <f t="shared" si="17"/>
        <v>262.89880486864143</v>
      </c>
      <c r="R70" s="12">
        <f t="shared" si="12"/>
        <v>4.406735406876083</v>
      </c>
      <c r="S70" s="12">
        <f t="shared" si="20"/>
        <v>4.422133212171769E-05</v>
      </c>
    </row>
    <row r="71" spans="9:19" ht="12.75">
      <c r="I71" s="12">
        <f t="shared" si="13"/>
        <v>7.388384231284803</v>
      </c>
      <c r="J71" s="12">
        <f t="shared" si="14"/>
        <v>0.00214358881</v>
      </c>
      <c r="K71" s="3">
        <f t="shared" si="15"/>
        <v>275.7305927195893</v>
      </c>
      <c r="L71" s="12">
        <f t="shared" si="11"/>
        <v>37.40354377466214</v>
      </c>
      <c r="M71" s="12">
        <f t="shared" si="16"/>
        <v>5.730977853098794E-06</v>
      </c>
      <c r="O71" s="12">
        <f t="shared" si="18"/>
        <v>7.388384231284803</v>
      </c>
      <c r="P71" s="12">
        <f t="shared" si="19"/>
        <v>0.00214358881</v>
      </c>
      <c r="Q71" s="3">
        <f t="shared" si="17"/>
        <v>275.7305927195893</v>
      </c>
      <c r="R71" s="12">
        <f t="shared" si="12"/>
        <v>37.40354377466214</v>
      </c>
      <c r="S71" s="12">
        <f t="shared" si="20"/>
        <v>5.730977853098794E-06</v>
      </c>
    </row>
    <row r="72" spans="9:19" ht="12.75">
      <c r="I72" s="12">
        <f t="shared" si="13"/>
        <v>7.388389962262656</v>
      </c>
      <c r="J72" s="12">
        <f t="shared" si="14"/>
        <v>0.002357947691</v>
      </c>
      <c r="K72" s="3">
        <f t="shared" si="15"/>
        <v>289.1886853555056</v>
      </c>
      <c r="L72" s="12">
        <f t="shared" si="11"/>
        <v>352.40493311376525</v>
      </c>
      <c r="M72" s="12">
        <f t="shared" si="16"/>
        <v>6.691017830442217E-07</v>
      </c>
      <c r="O72" s="12">
        <f t="shared" si="18"/>
        <v>7.388389962262656</v>
      </c>
      <c r="P72" s="12">
        <f t="shared" si="19"/>
        <v>0.002357947691</v>
      </c>
      <c r="Q72" s="3">
        <f t="shared" si="17"/>
        <v>289.1886853555056</v>
      </c>
      <c r="R72" s="12">
        <f t="shared" si="12"/>
        <v>352.40493311376525</v>
      </c>
      <c r="S72" s="12">
        <f t="shared" si="20"/>
        <v>6.691017830442217E-07</v>
      </c>
    </row>
    <row r="73" spans="9:19" ht="12.75">
      <c r="I73" s="12">
        <f t="shared" si="13"/>
        <v>7.388390631364439</v>
      </c>
      <c r="J73" s="12">
        <f t="shared" si="14"/>
        <v>0.0025937424600999998</v>
      </c>
      <c r="K73" s="3">
        <f t="shared" si="15"/>
        <v>303.3036519915482</v>
      </c>
      <c r="L73" s="12">
        <f t="shared" si="11"/>
        <v>3704.3953718314124</v>
      </c>
      <c r="M73" s="12">
        <f t="shared" si="16"/>
        <v>7.001797053908105E-08</v>
      </c>
      <c r="O73" s="12">
        <f t="shared" si="18"/>
        <v>7.388390631364439</v>
      </c>
      <c r="P73" s="12">
        <f t="shared" si="19"/>
        <v>0.0025937424600999998</v>
      </c>
      <c r="Q73" s="3">
        <f t="shared" si="17"/>
        <v>303.3036519915482</v>
      </c>
      <c r="R73" s="12">
        <f t="shared" si="12"/>
        <v>3704.3953718314124</v>
      </c>
      <c r="S73" s="12">
        <f t="shared" si="20"/>
        <v>7.001797053908105E-08</v>
      </c>
    </row>
    <row r="74" spans="9:19" ht="12.75">
      <c r="I74" s="12">
        <f aca="true" t="shared" si="21" ref="I74:I89">I73+M73</f>
        <v>7.38839070138241</v>
      </c>
      <c r="J74" s="12">
        <f aca="true" t="shared" si="22" ref="J74:J89">J73+M73*L73</f>
        <v>0.0028531167061099996</v>
      </c>
      <c r="K74" s="3">
        <f t="shared" si="15"/>
        <v>318.10755389105617</v>
      </c>
      <c r="L74" s="12">
        <f t="shared" si="11"/>
        <v>43677.67212582915</v>
      </c>
      <c r="M74" s="12">
        <f aca="true" t="shared" si="23" ref="M74:M89">0.1*J74/L74</f>
        <v>6.532208717283689E-09</v>
      </c>
      <c r="O74" s="12">
        <f t="shared" si="18"/>
        <v>7.38839070138241</v>
      </c>
      <c r="P74" s="12">
        <f t="shared" si="19"/>
        <v>0.0028531167061099996</v>
      </c>
      <c r="Q74" s="3">
        <f t="shared" si="17"/>
        <v>318.10755389105617</v>
      </c>
      <c r="R74" s="12">
        <f t="shared" si="12"/>
        <v>43677.67212582915</v>
      </c>
      <c r="S74" s="12">
        <f t="shared" si="20"/>
        <v>6.532208717283689E-09</v>
      </c>
    </row>
    <row r="75" spans="9:19" ht="12.75">
      <c r="I75" s="12">
        <f t="shared" si="21"/>
        <v>7.388390707914619</v>
      </c>
      <c r="J75" s="12">
        <f t="shared" si="22"/>
        <v>0.0031384283767209994</v>
      </c>
      <c r="K75" s="3">
        <f t="shared" si="15"/>
        <v>333.634017190703</v>
      </c>
      <c r="L75" s="12">
        <f t="shared" si="11"/>
        <v>580901.332859079</v>
      </c>
      <c r="M75" s="12">
        <f t="shared" si="23"/>
        <v>5.402687511964018E-10</v>
      </c>
      <c r="O75" s="12">
        <f t="shared" si="18"/>
        <v>7.388390707914619</v>
      </c>
      <c r="P75" s="12">
        <f t="shared" si="19"/>
        <v>0.0031384283767209994</v>
      </c>
      <c r="Q75" s="3">
        <f t="shared" si="17"/>
        <v>333.634017190703</v>
      </c>
      <c r="R75" s="12">
        <f t="shared" si="12"/>
        <v>580901.332859079</v>
      </c>
      <c r="S75" s="12">
        <f t="shared" si="20"/>
        <v>5.402687511964018E-10</v>
      </c>
    </row>
    <row r="76" spans="9:19" ht="12.75">
      <c r="I76" s="12">
        <f t="shared" si="21"/>
        <v>7.388390708454888</v>
      </c>
      <c r="J76" s="12">
        <f t="shared" si="22"/>
        <v>0.0034522712143930994</v>
      </c>
      <c r="K76" s="3">
        <f t="shared" si="15"/>
        <v>349.91830928016174</v>
      </c>
      <c r="L76" s="12">
        <f t="shared" si="11"/>
        <v>8765944.950271972</v>
      </c>
      <c r="M76" s="12">
        <f t="shared" si="23"/>
        <v>3.938276174419724E-11</v>
      </c>
      <c r="O76" s="12">
        <f t="shared" si="18"/>
        <v>7.388390708454888</v>
      </c>
      <c r="P76" s="12">
        <f t="shared" si="19"/>
        <v>0.0034522712143930994</v>
      </c>
      <c r="Q76" s="3">
        <f t="shared" si="17"/>
        <v>349.91830928016174</v>
      </c>
      <c r="R76" s="12">
        <f t="shared" si="12"/>
        <v>8765944.950271972</v>
      </c>
      <c r="S76" s="12">
        <f t="shared" si="20"/>
        <v>3.938276174419724E-11</v>
      </c>
    </row>
    <row r="77" spans="9:19" ht="12.75">
      <c r="I77" s="12">
        <f t="shared" si="21"/>
        <v>7.388390708494271</v>
      </c>
      <c r="J77" s="12">
        <f t="shared" si="22"/>
        <v>0.0037974983358324095</v>
      </c>
      <c r="K77" s="3">
        <f t="shared" si="15"/>
        <v>366.9974189097733</v>
      </c>
      <c r="L77" s="12">
        <f t="shared" si="11"/>
        <v>151017027.2442531</v>
      </c>
      <c r="M77" s="12">
        <f t="shared" si="23"/>
        <v>2.5146160039889955E-12</v>
      </c>
      <c r="O77" s="12">
        <f t="shared" si="18"/>
        <v>7.388390708494271</v>
      </c>
      <c r="P77" s="12">
        <f t="shared" si="19"/>
        <v>0.0037974983358324095</v>
      </c>
      <c r="Q77" s="3">
        <f t="shared" si="17"/>
        <v>366.9974189097733</v>
      </c>
      <c r="R77" s="12">
        <f t="shared" si="12"/>
        <v>151017027.2442531</v>
      </c>
      <c r="S77" s="12">
        <f t="shared" si="20"/>
        <v>2.5146160039889955E-12</v>
      </c>
    </row>
    <row r="78" spans="9:19" ht="12.75">
      <c r="I78" s="12">
        <f t="shared" si="21"/>
        <v>7.388390708496785</v>
      </c>
      <c r="J78" s="12">
        <f t="shared" si="22"/>
        <v>0.0041772481694156505</v>
      </c>
      <c r="K78" s="3">
        <f t="shared" si="15"/>
        <v>384.91014020817795</v>
      </c>
      <c r="L78" s="12">
        <f t="shared" si="11"/>
        <v>2989454306.07417</v>
      </c>
      <c r="M78" s="12">
        <f t="shared" si="23"/>
        <v>1.397327987562159E-13</v>
      </c>
      <c r="O78" s="12">
        <f t="shared" si="18"/>
        <v>7.388390708496785</v>
      </c>
      <c r="P78" s="12">
        <f t="shared" si="19"/>
        <v>0.0041772481694156505</v>
      </c>
      <c r="Q78" s="3">
        <f t="shared" si="17"/>
        <v>384.91014020817795</v>
      </c>
      <c r="R78" s="12">
        <f t="shared" si="12"/>
        <v>2989454306.07417</v>
      </c>
      <c r="S78" s="12">
        <f t="shared" si="20"/>
        <v>1.397327987562159E-13</v>
      </c>
    </row>
    <row r="79" spans="9:19" ht="12.75">
      <c r="I79" s="12">
        <f t="shared" si="21"/>
        <v>7.3883907084969245</v>
      </c>
      <c r="J79" s="12">
        <f t="shared" si="22"/>
        <v>0.004594972986357216</v>
      </c>
      <c r="K79" s="3">
        <f t="shared" si="15"/>
        <v>403.6971608007506</v>
      </c>
      <c r="L79" s="12">
        <f t="shared" si="11"/>
        <v>68460775661.44176</v>
      </c>
      <c r="M79" s="12">
        <f t="shared" si="23"/>
        <v>6.711833078083544E-15</v>
      </c>
      <c r="O79" s="12">
        <f t="shared" si="18"/>
        <v>7.3883907084969245</v>
      </c>
      <c r="P79" s="12">
        <f t="shared" si="19"/>
        <v>0.004594972986357216</v>
      </c>
      <c r="Q79" s="3">
        <f t="shared" si="17"/>
        <v>403.6971608007506</v>
      </c>
      <c r="R79" s="12">
        <f t="shared" si="12"/>
        <v>68460775661.44176</v>
      </c>
      <c r="S79" s="12">
        <f t="shared" si="20"/>
        <v>6.711833078083544E-15</v>
      </c>
    </row>
    <row r="80" spans="9:19" ht="12.75">
      <c r="I80" s="12">
        <f t="shared" si="21"/>
        <v>7.388390708496932</v>
      </c>
      <c r="J80" s="12">
        <f t="shared" si="22"/>
        <v>0.005054470284992937</v>
      </c>
      <c r="K80" s="3">
        <f t="shared" si="15"/>
        <v>423.4011542289958</v>
      </c>
      <c r="L80" s="12">
        <f t="shared" si="11"/>
        <v>1826688178738.4106</v>
      </c>
      <c r="M80" s="12">
        <f t="shared" si="23"/>
        <v>2.767013190222631E-16</v>
      </c>
      <c r="O80" s="12">
        <f t="shared" si="18"/>
        <v>7.388390708496932</v>
      </c>
      <c r="P80" s="12">
        <f t="shared" si="19"/>
        <v>0.005054470284992937</v>
      </c>
      <c r="Q80" s="3">
        <f t="shared" si="17"/>
        <v>423.4011542289958</v>
      </c>
      <c r="R80" s="12">
        <f t="shared" si="12"/>
        <v>1826688178738.4106</v>
      </c>
      <c r="S80" s="12">
        <f t="shared" si="20"/>
        <v>2.767013190222631E-16</v>
      </c>
    </row>
    <row r="81" spans="9:19" ht="12.75">
      <c r="I81" s="12">
        <f t="shared" si="21"/>
        <v>7.388390708496932</v>
      </c>
      <c r="J81" s="12">
        <f t="shared" si="22"/>
        <v>0.0055599173134922315</v>
      </c>
      <c r="K81" s="3">
        <f t="shared" si="15"/>
        <v>444.06687688082576</v>
      </c>
      <c r="L81" s="12">
        <f t="shared" si="11"/>
        <v>57213603729174.55</v>
      </c>
      <c r="M81" s="12">
        <f t="shared" si="23"/>
        <v>9.717823998310913E-18</v>
      </c>
      <c r="O81" s="12">
        <f t="shared" si="18"/>
        <v>7.388390708496932</v>
      </c>
      <c r="P81" s="12">
        <f t="shared" si="19"/>
        <v>0.0055599173134922315</v>
      </c>
      <c r="Q81" s="3">
        <f t="shared" si="17"/>
        <v>444.06687688082576</v>
      </c>
      <c r="R81" s="12">
        <f t="shared" si="12"/>
        <v>57213603729174.55</v>
      </c>
      <c r="S81" s="12">
        <f t="shared" si="20"/>
        <v>9.717823998310913E-18</v>
      </c>
    </row>
    <row r="82" spans="9:19" ht="12.75">
      <c r="I82" s="12">
        <f t="shared" si="21"/>
        <v>7.388390708496932</v>
      </c>
      <c r="J82" s="12">
        <f t="shared" si="22"/>
        <v>0.0061159090448414544</v>
      </c>
      <c r="K82" s="3">
        <f t="shared" si="15"/>
        <v>465.7412696518953</v>
      </c>
      <c r="L82" s="12">
        <f t="shared" si="11"/>
        <v>2120040545503503.2</v>
      </c>
      <c r="M82" s="12">
        <f t="shared" si="23"/>
        <v>2.884807584370489E-19</v>
      </c>
      <c r="O82" s="12">
        <f t="shared" si="18"/>
        <v>7.388390708496932</v>
      </c>
      <c r="P82" s="12">
        <f t="shared" si="19"/>
        <v>0.0061159090448414544</v>
      </c>
      <c r="Q82" s="3">
        <f t="shared" si="17"/>
        <v>465.7412696518953</v>
      </c>
      <c r="R82" s="12">
        <f t="shared" si="12"/>
        <v>2120040545503503.2</v>
      </c>
      <c r="S82" s="12">
        <f t="shared" si="20"/>
        <v>2.884807584370489E-19</v>
      </c>
    </row>
    <row r="83" spans="9:19" ht="12.75">
      <c r="I83" s="12">
        <f t="shared" si="21"/>
        <v>7.388390708496932</v>
      </c>
      <c r="J83" s="12">
        <f t="shared" si="22"/>
        <v>0.0067274999493256</v>
      </c>
      <c r="K83" s="3">
        <f t="shared" si="15"/>
        <v>488.47356456890833</v>
      </c>
      <c r="L83" s="12">
        <f t="shared" si="11"/>
        <v>93704951613286160</v>
      </c>
      <c r="M83" s="12">
        <f t="shared" si="23"/>
        <v>7.179449787338376E-21</v>
      </c>
      <c r="O83" s="12">
        <f t="shared" si="18"/>
        <v>7.388390708496932</v>
      </c>
      <c r="P83" s="12">
        <f t="shared" si="19"/>
        <v>0.0067274999493256</v>
      </c>
      <c r="Q83" s="3">
        <f t="shared" si="17"/>
        <v>488.47356456890833</v>
      </c>
      <c r="R83" s="12">
        <f t="shared" si="12"/>
        <v>93704951613286160</v>
      </c>
      <c r="S83" s="12">
        <f t="shared" si="20"/>
        <v>7.179449787338376E-21</v>
      </c>
    </row>
    <row r="84" spans="9:19" ht="12.75">
      <c r="I84" s="12">
        <f t="shared" si="21"/>
        <v>7.388390708496932</v>
      </c>
      <c r="J84" s="12">
        <f t="shared" si="22"/>
        <v>0.007400249944258161</v>
      </c>
      <c r="K84" s="3">
        <f t="shared" si="15"/>
        <v>512.3153966170848</v>
      </c>
      <c r="L84" s="12">
        <f t="shared" si="11"/>
        <v>4.983011509026058E+18</v>
      </c>
      <c r="M84" s="12">
        <f t="shared" si="23"/>
        <v>1.485095896498252E-22</v>
      </c>
      <c r="O84" s="12">
        <f t="shared" si="18"/>
        <v>7.388390708496932</v>
      </c>
      <c r="P84" s="12">
        <f t="shared" si="19"/>
        <v>0.007400249944258161</v>
      </c>
      <c r="Q84" s="3">
        <f t="shared" si="17"/>
        <v>512.3153966170848</v>
      </c>
      <c r="R84" s="12">
        <f t="shared" si="12"/>
        <v>4.983011509026058E+18</v>
      </c>
      <c r="S84" s="12">
        <f t="shared" si="20"/>
        <v>1.485095896498252E-22</v>
      </c>
    </row>
    <row r="85" spans="9:19" ht="12.75">
      <c r="I85" s="12">
        <f t="shared" si="21"/>
        <v>7.388390708496932</v>
      </c>
      <c r="J85" s="12">
        <f t="shared" si="22"/>
        <v>0.008140274938683977</v>
      </c>
      <c r="K85" s="3">
        <f t="shared" si="15"/>
        <v>537.3209210257992</v>
      </c>
      <c r="L85" s="12">
        <f t="shared" si="11"/>
        <v>3.217007708462591E+20</v>
      </c>
      <c r="M85" s="12">
        <f t="shared" si="23"/>
        <v>2.530387141215219E-24</v>
      </c>
      <c r="O85" s="12">
        <f t="shared" si="18"/>
        <v>7.388390708496932</v>
      </c>
      <c r="P85" s="12">
        <f t="shared" si="19"/>
        <v>0.008140274938683977</v>
      </c>
      <c r="Q85" s="3">
        <f t="shared" si="17"/>
        <v>537.3209210257992</v>
      </c>
      <c r="R85" s="12">
        <f t="shared" si="12"/>
        <v>3.217007708462591E+20</v>
      </c>
      <c r="S85" s="12">
        <f t="shared" si="20"/>
        <v>2.530387141215219E-24</v>
      </c>
    </row>
    <row r="86" spans="9:19" ht="12.75">
      <c r="I86" s="12">
        <f t="shared" si="21"/>
        <v>7.388390708496932</v>
      </c>
      <c r="J86" s="12">
        <f t="shared" si="22"/>
        <v>0.008954302432552375</v>
      </c>
      <c r="K86" s="3">
        <f t="shared" si="15"/>
        <v>563.5469362787934</v>
      </c>
      <c r="L86" s="12">
        <f t="shared" si="11"/>
        <v>2.5453903071880694E+22</v>
      </c>
      <c r="M86" s="12">
        <f t="shared" si="23"/>
        <v>3.5178504480298456E-26</v>
      </c>
      <c r="O86" s="12">
        <f t="shared" si="18"/>
        <v>7.388390708496932</v>
      </c>
      <c r="P86" s="12">
        <f t="shared" si="19"/>
        <v>0.008954302432552375</v>
      </c>
      <c r="Q86" s="3">
        <f t="shared" si="17"/>
        <v>563.5469362787934</v>
      </c>
      <c r="R86" s="12">
        <f t="shared" si="12"/>
        <v>2.5453903071880694E+22</v>
      </c>
      <c r="S86" s="12">
        <f t="shared" si="20"/>
        <v>3.5178504480298456E-26</v>
      </c>
    </row>
    <row r="87" spans="9:19" ht="12.75">
      <c r="I87" s="12">
        <f t="shared" si="21"/>
        <v>7.388390708496932</v>
      </c>
      <c r="J87" s="12">
        <f t="shared" si="22"/>
        <v>0.009849732675807613</v>
      </c>
      <c r="K87" s="3">
        <f t="shared" si="15"/>
        <v>591.0530131283791</v>
      </c>
      <c r="L87" s="12">
        <f t="shared" si="11"/>
        <v>2.4929330679985255E+24</v>
      </c>
      <c r="M87" s="12">
        <f t="shared" si="23"/>
        <v>3.951061824421769E-28</v>
      </c>
      <c r="O87" s="12">
        <f t="shared" si="18"/>
        <v>7.388390708496932</v>
      </c>
      <c r="P87" s="12">
        <f t="shared" si="19"/>
        <v>0.009849732675807613</v>
      </c>
      <c r="Q87" s="3">
        <f t="shared" si="17"/>
        <v>591.0530131283791</v>
      </c>
      <c r="R87" s="12">
        <f t="shared" si="12"/>
        <v>2.4929330679985255E+24</v>
      </c>
      <c r="S87" s="12">
        <f t="shared" si="20"/>
        <v>3.951061824421769E-28</v>
      </c>
    </row>
    <row r="88" spans="9:19" ht="12.75">
      <c r="I88" s="12">
        <f t="shared" si="21"/>
        <v>7.388390708496932</v>
      </c>
      <c r="J88" s="12">
        <f t="shared" si="22"/>
        <v>0.010834705943388374</v>
      </c>
      <c r="K88" s="3">
        <f t="shared" si="15"/>
        <v>619.9016299066727</v>
      </c>
      <c r="L88" s="12">
        <f t="shared" si="11"/>
        <v>3.0538178642722496E+26</v>
      </c>
      <c r="M88" s="12">
        <f t="shared" si="23"/>
        <v>3.5479214625559785E-30</v>
      </c>
      <c r="O88" s="12">
        <f t="shared" si="18"/>
        <v>7.388390708496932</v>
      </c>
      <c r="P88" s="12">
        <f t="shared" si="19"/>
        <v>0.010834705943388374</v>
      </c>
      <c r="Q88" s="3">
        <f t="shared" si="17"/>
        <v>619.9016299066727</v>
      </c>
      <c r="R88" s="12">
        <f t="shared" si="12"/>
        <v>3.0538178642722496E+26</v>
      </c>
      <c r="S88" s="12">
        <f t="shared" si="20"/>
        <v>3.5479214625559785E-30</v>
      </c>
    </row>
    <row r="89" spans="9:19" ht="12.75">
      <c r="I89" s="12">
        <f t="shared" si="21"/>
        <v>7.388390708496932</v>
      </c>
      <c r="J89" s="12">
        <f t="shared" si="22"/>
        <v>0.011918176537727213</v>
      </c>
      <c r="K89" s="3">
        <f t="shared" si="15"/>
        <v>650.1583144412169</v>
      </c>
      <c r="L89" s="12">
        <f t="shared" si="11"/>
        <v>4.730368641549432E+28</v>
      </c>
      <c r="M89" s="12">
        <f t="shared" si="23"/>
        <v>2.5195026943657854E-32</v>
      </c>
      <c r="O89" s="12">
        <f t="shared" si="18"/>
        <v>7.388390708496932</v>
      </c>
      <c r="P89" s="12">
        <f t="shared" si="19"/>
        <v>0.011918176537727213</v>
      </c>
      <c r="Q89" s="3">
        <f t="shared" si="17"/>
        <v>650.1583144412169</v>
      </c>
      <c r="R89" s="12">
        <f t="shared" si="12"/>
        <v>4.730368641549432E+28</v>
      </c>
      <c r="S89" s="12">
        <f t="shared" si="20"/>
        <v>2.5195026943657854E-32</v>
      </c>
    </row>
    <row r="90" spans="9:19" ht="12.75">
      <c r="I90" s="1"/>
      <c r="J90" s="1"/>
      <c r="K90" s="1"/>
      <c r="L90" s="1"/>
      <c r="M90" s="1"/>
      <c r="O90" s="12">
        <f aca="true" t="shared" si="24" ref="O90:O104">O89+S89</f>
        <v>7.388390708496932</v>
      </c>
      <c r="P90" s="12">
        <f aca="true" t="shared" si="25" ref="P90:P104">P89+S89*R89</f>
        <v>0.013109994191499934</v>
      </c>
      <c r="Q90" s="3">
        <f t="shared" si="17"/>
        <v>681.8917928973401</v>
      </c>
      <c r="R90" s="12">
        <f t="shared" si="12"/>
        <v>9.372182809732152E+30</v>
      </c>
      <c r="S90" s="12">
        <f aca="true" t="shared" si="26" ref="S90:S104">0.1*P90/R90</f>
        <v>1.3988197261673566E-34</v>
      </c>
    </row>
    <row r="91" spans="9:19" ht="12.75">
      <c r="I91" s="1"/>
      <c r="J91" s="1"/>
      <c r="K91" s="1"/>
      <c r="L91" s="1"/>
      <c r="M91" s="1"/>
      <c r="O91" s="12">
        <f t="shared" si="24"/>
        <v>7.388390708496932</v>
      </c>
      <c r="P91" s="12">
        <f t="shared" si="25"/>
        <v>0.014420993610649926</v>
      </c>
      <c r="Q91" s="3">
        <f t="shared" si="17"/>
        <v>715.1741458853387</v>
      </c>
      <c r="R91" s="12">
        <f t="shared" si="12"/>
        <v>2.4037970198100092E+33</v>
      </c>
      <c r="S91" s="12">
        <f t="shared" si="26"/>
        <v>5.999255965376698E-37</v>
      </c>
    </row>
    <row r="92" spans="9:19" ht="12.75">
      <c r="I92" s="1"/>
      <c r="J92" s="1"/>
      <c r="K92" s="1"/>
      <c r="L92" s="1"/>
      <c r="M92" s="1"/>
      <c r="O92" s="12">
        <f t="shared" si="24"/>
        <v>7.388390708496932</v>
      </c>
      <c r="P92" s="12">
        <f t="shared" si="25"/>
        <v>0.01586309297171492</v>
      </c>
      <c r="Q92" s="3">
        <f t="shared" si="17"/>
        <v>750.0809721870739</v>
      </c>
      <c r="R92" s="12">
        <f t="shared" si="12"/>
        <v>8.082358927416738E+35</v>
      </c>
      <c r="S92" s="12">
        <f t="shared" si="26"/>
        <v>1.9626810828586945E-39</v>
      </c>
    </row>
    <row r="93" spans="9:19" ht="12.75">
      <c r="I93" s="1"/>
      <c r="J93" s="1"/>
      <c r="K93" s="1"/>
      <c r="L93" s="1"/>
      <c r="M93" s="1"/>
      <c r="O93" s="12">
        <f t="shared" si="24"/>
        <v>7.388390708496932</v>
      </c>
      <c r="P93" s="12">
        <f t="shared" si="25"/>
        <v>0.017449402268886412</v>
      </c>
      <c r="Q93" s="3">
        <f t="shared" si="17"/>
        <v>786.6915604738726</v>
      </c>
      <c r="R93" s="12">
        <f t="shared" si="12"/>
        <v>3.609947437074816E+38</v>
      </c>
      <c r="S93" s="12">
        <f t="shared" si="26"/>
        <v>4.8336998178083926E-42</v>
      </c>
    </row>
    <row r="94" spans="9:19" ht="12.75">
      <c r="I94" s="1"/>
      <c r="J94" s="1"/>
      <c r="K94" s="1"/>
      <c r="L94" s="1"/>
      <c r="M94" s="1"/>
      <c r="O94" s="12">
        <f t="shared" si="24"/>
        <v>7.388390708496932</v>
      </c>
      <c r="P94" s="12">
        <f t="shared" si="25"/>
        <v>0.019194342495775053</v>
      </c>
      <c r="Q94" s="3">
        <f t="shared" si="17"/>
        <v>825.0890694057814</v>
      </c>
      <c r="R94" s="12">
        <f t="shared" si="12"/>
        <v>2.171727111431614E+41</v>
      </c>
      <c r="S94" s="12">
        <f t="shared" si="26"/>
        <v>8.838284697344889E-45</v>
      </c>
    </row>
    <row r="95" spans="9:19" ht="12.75">
      <c r="I95" s="1"/>
      <c r="J95" s="1"/>
      <c r="K95" s="1"/>
      <c r="L95" s="1"/>
      <c r="M95" s="1"/>
      <c r="O95" s="12">
        <f t="shared" si="24"/>
        <v>7.388390708496932</v>
      </c>
      <c r="P95" s="12">
        <f t="shared" si="25"/>
        <v>0.021113776745352558</v>
      </c>
      <c r="Q95" s="3">
        <f t="shared" si="17"/>
        <v>865.36071652126</v>
      </c>
      <c r="R95" s="12">
        <f t="shared" si="12"/>
        <v>1.785518165328302E+44</v>
      </c>
      <c r="S95" s="12">
        <f t="shared" si="26"/>
        <v>1.1825013688096747E-47</v>
      </c>
    </row>
    <row r="96" spans="9:19" ht="12.75">
      <c r="I96" s="1"/>
      <c r="J96" s="1"/>
      <c r="K96" s="1"/>
      <c r="L96" s="1"/>
      <c r="M96" s="1"/>
      <c r="O96" s="12">
        <f t="shared" si="24"/>
        <v>7.388390708496932</v>
      </c>
      <c r="P96" s="12">
        <f t="shared" si="25"/>
        <v>0.023225154419887813</v>
      </c>
      <c r="Q96" s="3">
        <f t="shared" si="17"/>
        <v>907.5979763463596</v>
      </c>
      <c r="R96" s="12">
        <f t="shared" si="12"/>
        <v>2.0370377862152114E+47</v>
      </c>
      <c r="S96" s="12">
        <f t="shared" si="26"/>
        <v>1.1401435249289036E-50</v>
      </c>
    </row>
    <row r="97" spans="9:19" ht="12.75">
      <c r="I97" s="1"/>
      <c r="J97" s="1"/>
      <c r="K97" s="1"/>
      <c r="L97" s="1"/>
      <c r="M97" s="1"/>
      <c r="O97" s="12">
        <f t="shared" si="24"/>
        <v>7.388390708496932</v>
      </c>
      <c r="P97" s="12">
        <f t="shared" si="25"/>
        <v>0.025547669861876593</v>
      </c>
      <c r="Q97" s="3">
        <f t="shared" si="17"/>
        <v>951.8967881733857</v>
      </c>
      <c r="R97" s="12">
        <f t="shared" si="12"/>
        <v>3.27683072376713E+50</v>
      </c>
      <c r="S97" s="12">
        <f t="shared" si="26"/>
        <v>7.79645700846772E-54</v>
      </c>
    </row>
    <row r="98" spans="9:19" ht="12.75">
      <c r="I98" s="1"/>
      <c r="J98" s="1"/>
      <c r="K98" s="1"/>
      <c r="L98" s="1"/>
      <c r="M98" s="1"/>
      <c r="O98" s="12">
        <f t="shared" si="24"/>
        <v>7.388390708496932</v>
      </c>
      <c r="P98" s="12">
        <f t="shared" si="25"/>
        <v>0.028102436848064252</v>
      </c>
      <c r="Q98" s="3">
        <f t="shared" si="17"/>
        <v>998.3577739809956</v>
      </c>
      <c r="R98" s="12">
        <f t="shared" si="12"/>
        <v>7.558094197610428E+53</v>
      </c>
      <c r="S98" s="12">
        <f t="shared" si="26"/>
        <v>3.7181908710464527E-57</v>
      </c>
    </row>
    <row r="99" spans="9:19" ht="12.75">
      <c r="I99" s="1"/>
      <c r="J99" s="1"/>
      <c r="K99" s="1"/>
      <c r="L99" s="1"/>
      <c r="M99" s="1"/>
      <c r="O99" s="12">
        <f t="shared" si="24"/>
        <v>7.388390708496932</v>
      </c>
      <c r="P99" s="12">
        <f t="shared" si="25"/>
        <v>0.030912680532870676</v>
      </c>
      <c r="Q99" s="3">
        <f t="shared" si="17"/>
        <v>1047.0864669907244</v>
      </c>
      <c r="R99" s="12">
        <f t="shared" si="12"/>
        <v>2.5439742692209922E+57</v>
      </c>
      <c r="S99" s="12">
        <f t="shared" si="26"/>
        <v>1.2151333803520215E-60</v>
      </c>
    </row>
    <row r="100" spans="9:19" ht="12.75">
      <c r="I100" s="1"/>
      <c r="J100" s="1"/>
      <c r="K100" s="1"/>
      <c r="L100" s="1"/>
      <c r="M100" s="1"/>
      <c r="O100" s="12">
        <f t="shared" si="24"/>
        <v>7.388390708496932</v>
      </c>
      <c r="P100" s="12">
        <f t="shared" si="25"/>
        <v>0.034003948586157746</v>
      </c>
      <c r="Q100" s="3">
        <f t="shared" si="17"/>
        <v>1098.193551379095</v>
      </c>
      <c r="R100" s="12">
        <f t="shared" si="12"/>
        <v>1.272819549302884E+61</v>
      </c>
      <c r="S100" s="12">
        <f t="shared" si="26"/>
        <v>2.6715451223845136E-64</v>
      </c>
    </row>
    <row r="101" spans="9:19" ht="12.75">
      <c r="I101" s="1"/>
      <c r="J101" s="1"/>
      <c r="K101" s="1"/>
      <c r="L101" s="1"/>
      <c r="M101" s="1"/>
      <c r="O101" s="12">
        <f t="shared" si="24"/>
        <v>7.388390708496932</v>
      </c>
      <c r="P101" s="12">
        <f t="shared" si="25"/>
        <v>0.03740434344477352</v>
      </c>
      <c r="Q101" s="3">
        <f t="shared" si="17"/>
        <v>1151.7951136897968</v>
      </c>
      <c r="R101" s="12">
        <f t="shared" si="12"/>
        <v>9.651110598734435E+64</v>
      </c>
      <c r="S101" s="12">
        <f t="shared" si="26"/>
        <v>3.8756517254789735E-68</v>
      </c>
    </row>
    <row r="102" spans="9:19" ht="12.75">
      <c r="I102" s="1"/>
      <c r="J102" s="1"/>
      <c r="K102" s="1"/>
      <c r="L102" s="1"/>
      <c r="M102" s="1"/>
      <c r="O102" s="12">
        <f t="shared" si="24"/>
        <v>7.388390708496932</v>
      </c>
      <c r="P102" s="12">
        <f t="shared" si="25"/>
        <v>0.04114477778925087</v>
      </c>
      <c r="Q102" s="3">
        <f t="shared" si="17"/>
        <v>1208.0129065170047</v>
      </c>
      <c r="R102" s="12">
        <f t="shared" si="12"/>
        <v>1.1317664809400712E+69</v>
      </c>
      <c r="S102" s="12">
        <f t="shared" si="26"/>
        <v>3.6354476371375726E-72</v>
      </c>
    </row>
    <row r="103" spans="9:19" ht="12.75">
      <c r="I103" s="1"/>
      <c r="J103" s="1"/>
      <c r="K103" s="1"/>
      <c r="L103" s="1"/>
      <c r="M103" s="1"/>
      <c r="O103" s="12">
        <f t="shared" si="24"/>
        <v>7.388390708496932</v>
      </c>
      <c r="P103" s="12">
        <f t="shared" si="25"/>
        <v>0.04525925556817596</v>
      </c>
      <c r="Q103" s="3">
        <f t="shared" si="17"/>
        <v>1266.9746250587766</v>
      </c>
      <c r="R103" s="12">
        <f t="shared" si="12"/>
        <v>2.0967580955989536E+73</v>
      </c>
      <c r="S103" s="12">
        <f t="shared" si="26"/>
        <v>2.1585349145985932E-76</v>
      </c>
    </row>
    <row r="104" spans="9:19" ht="12.75">
      <c r="I104" s="1"/>
      <c r="J104" s="1"/>
      <c r="K104" s="1"/>
      <c r="L104" s="1"/>
      <c r="M104" s="1"/>
      <c r="O104" s="12">
        <f t="shared" si="24"/>
        <v>7.388390708496932</v>
      </c>
      <c r="P104" s="12">
        <f t="shared" si="25"/>
        <v>0.04978518112499356</v>
      </c>
      <c r="Q104" s="3">
        <f t="shared" si="17"/>
        <v>1328.814197168705</v>
      </c>
      <c r="R104" s="12">
        <f t="shared" si="12"/>
        <v>6.275463630179169E+77</v>
      </c>
      <c r="S104" s="12">
        <f t="shared" si="26"/>
        <v>7.9333072516862245E-81</v>
      </c>
    </row>
    <row r="105" spans="9:13" ht="12.75">
      <c r="I105" s="1"/>
      <c r="J105" s="1"/>
      <c r="K105" s="1"/>
      <c r="L105" s="1"/>
      <c r="M105" s="1"/>
    </row>
    <row r="106" spans="9:13" ht="12.75">
      <c r="I106" s="1"/>
      <c r="J106" s="1"/>
      <c r="K106" s="1"/>
      <c r="L106" s="1"/>
      <c r="M106" s="1"/>
    </row>
    <row r="107" spans="9:13" ht="12.75">
      <c r="I107" s="1"/>
      <c r="J107" s="1"/>
      <c r="K107" s="1"/>
      <c r="L107" s="1"/>
      <c r="M107" s="1"/>
    </row>
    <row r="108" spans="9:13" ht="12.75">
      <c r="I108" s="1"/>
      <c r="J108" s="1"/>
      <c r="K108" s="1"/>
      <c r="L108" s="1"/>
      <c r="M108" s="1"/>
    </row>
    <row r="109" spans="9:13" ht="12.75">
      <c r="I109" s="1"/>
      <c r="J109" s="1"/>
      <c r="K109" s="1"/>
      <c r="L109" s="1"/>
      <c r="M109" s="1"/>
    </row>
    <row r="110" spans="9:13" ht="12.75">
      <c r="I110" s="1"/>
      <c r="J110" s="1"/>
      <c r="K110" s="1"/>
      <c r="L110" s="1"/>
      <c r="M110" s="1"/>
    </row>
    <row r="111" spans="9:13" ht="12.75">
      <c r="I111" s="1"/>
      <c r="J111" s="1"/>
      <c r="K111" s="1"/>
      <c r="L111" s="1"/>
      <c r="M111" s="1"/>
    </row>
    <row r="112" spans="9:13" ht="12.75">
      <c r="I112" s="1"/>
      <c r="J112" s="1"/>
      <c r="K112" s="1"/>
      <c r="L112" s="1"/>
      <c r="M112" s="1"/>
    </row>
    <row r="113" spans="9:13" ht="12.75">
      <c r="I113" s="1"/>
      <c r="J113" s="1"/>
      <c r="K113" s="1"/>
      <c r="L113" s="1"/>
      <c r="M113" s="1"/>
    </row>
    <row r="114" spans="9:13" ht="12.75">
      <c r="I114" s="1"/>
      <c r="J114" s="1"/>
      <c r="K114" s="1"/>
      <c r="L114" s="1"/>
      <c r="M114" s="1"/>
    </row>
    <row r="115" spans="9:13" ht="12.75">
      <c r="I115" s="1"/>
      <c r="J115" s="1"/>
      <c r="K115" s="1"/>
      <c r="L115" s="1"/>
      <c r="M115" s="1"/>
    </row>
    <row r="116" spans="9:13" ht="12.75">
      <c r="I116" s="1"/>
      <c r="J116" s="1"/>
      <c r="K116" s="1"/>
      <c r="L116" s="1"/>
      <c r="M116" s="1"/>
    </row>
    <row r="117" spans="9:13" ht="12.75">
      <c r="I117" s="1"/>
      <c r="J117" s="1"/>
      <c r="K117" s="1"/>
      <c r="L117" s="1"/>
      <c r="M117" s="1"/>
    </row>
    <row r="118" spans="9:13" ht="12.75">
      <c r="I118" s="1"/>
      <c r="J118" s="1"/>
      <c r="K118" s="1"/>
      <c r="L118" s="1"/>
      <c r="M118" s="1"/>
    </row>
    <row r="119" spans="9:13" ht="12.75">
      <c r="I119" s="1"/>
      <c r="J119" s="1"/>
      <c r="K119" s="1"/>
      <c r="L119" s="1"/>
      <c r="M119" s="1"/>
    </row>
    <row r="120" spans="9:13" ht="12.75">
      <c r="I120" s="1"/>
      <c r="J120" s="1"/>
      <c r="K120" s="1"/>
      <c r="L120" s="1"/>
      <c r="M120" s="1"/>
    </row>
    <row r="121" spans="9:13" ht="12.75">
      <c r="I121" s="1"/>
      <c r="J121" s="1"/>
      <c r="K121" s="1"/>
      <c r="L121" s="1"/>
      <c r="M121" s="1"/>
    </row>
    <row r="122" spans="9:13" ht="12.75">
      <c r="I122" s="1"/>
      <c r="J122" s="1"/>
      <c r="K122" s="1"/>
      <c r="L122" s="1"/>
      <c r="M122" s="1"/>
    </row>
    <row r="123" spans="9:13" ht="12.75">
      <c r="I123" s="1"/>
      <c r="J123" s="1"/>
      <c r="K123" s="1"/>
      <c r="L123" s="1"/>
      <c r="M123" s="1"/>
    </row>
    <row r="124" spans="9:13" ht="12.75">
      <c r="I124" s="1"/>
      <c r="J124" s="1"/>
      <c r="K124" s="1"/>
      <c r="L124" s="1"/>
      <c r="M124" s="1"/>
    </row>
    <row r="125" spans="9:13" ht="12.75">
      <c r="I125" s="1"/>
      <c r="J125" s="1"/>
      <c r="K125" s="1"/>
      <c r="L125" s="1"/>
      <c r="M125" s="1"/>
    </row>
    <row r="126" spans="9:13" ht="12.75">
      <c r="I126" s="1"/>
      <c r="J126" s="1"/>
      <c r="K126" s="1"/>
      <c r="L126" s="1"/>
      <c r="M126" s="1"/>
    </row>
    <row r="127" spans="9:13" ht="12.75">
      <c r="I127" s="1"/>
      <c r="J127" s="1"/>
      <c r="K127" s="1"/>
      <c r="L127" s="1"/>
      <c r="M127" s="1"/>
    </row>
    <row r="128" spans="9:13" ht="12.75">
      <c r="I128" s="1"/>
      <c r="J128" s="1"/>
      <c r="K128" s="1"/>
      <c r="L128" s="1"/>
      <c r="M128" s="1"/>
    </row>
    <row r="129" spans="9:13" ht="12.75">
      <c r="I129" s="1"/>
      <c r="J129" s="1"/>
      <c r="K129" s="1"/>
      <c r="L129" s="1"/>
      <c r="M129" s="1"/>
    </row>
    <row r="130" spans="9:13" ht="12.75">
      <c r="I130" s="1"/>
      <c r="J130" s="1"/>
      <c r="K130" s="1"/>
      <c r="L130" s="1"/>
      <c r="M130" s="1"/>
    </row>
    <row r="131" spans="9:13" ht="12.75">
      <c r="I131" s="1"/>
      <c r="J131" s="1"/>
      <c r="K131" s="1"/>
      <c r="L131" s="1"/>
      <c r="M131" s="1"/>
    </row>
    <row r="132" spans="9:13" ht="12.75">
      <c r="I132" s="1"/>
      <c r="J132" s="1"/>
      <c r="K132" s="1"/>
      <c r="L132" s="1"/>
      <c r="M132" s="1"/>
    </row>
    <row r="133" spans="9:13" ht="12.75">
      <c r="I133" s="1"/>
      <c r="J133" s="1"/>
      <c r="K133" s="1"/>
      <c r="L133" s="1"/>
      <c r="M133" s="1"/>
    </row>
    <row r="134" spans="9:13" ht="12.75">
      <c r="I134" s="1"/>
      <c r="J134" s="1"/>
      <c r="K134" s="1"/>
      <c r="L134" s="1"/>
      <c r="M134" s="1"/>
    </row>
    <row r="135" spans="9:13" ht="12.75">
      <c r="I135" s="1"/>
      <c r="J135" s="1"/>
      <c r="K135" s="1"/>
      <c r="L135" s="1"/>
      <c r="M135" s="1"/>
    </row>
    <row r="136" spans="9:13" ht="12.75">
      <c r="I136" s="1"/>
      <c r="J136" s="1"/>
      <c r="K136" s="1"/>
      <c r="L136" s="1"/>
      <c r="M136" s="1"/>
    </row>
    <row r="137" spans="9:13" ht="12.75">
      <c r="I137" s="1"/>
      <c r="J137" s="1"/>
      <c r="K137" s="1"/>
      <c r="L137" s="1"/>
      <c r="M137" s="1"/>
    </row>
    <row r="138" spans="9:13" ht="12.75">
      <c r="I138" s="1"/>
      <c r="J138" s="1"/>
      <c r="K138" s="1"/>
      <c r="L138" s="1"/>
      <c r="M138" s="1"/>
    </row>
    <row r="139" spans="9:13" ht="12.75">
      <c r="I139" s="1"/>
      <c r="J139" s="1"/>
      <c r="K139" s="1"/>
      <c r="L139" s="1"/>
      <c r="M139" s="1"/>
    </row>
    <row r="140" spans="9:13" ht="12.75">
      <c r="I140" s="1"/>
      <c r="J140" s="1"/>
      <c r="K140" s="1"/>
      <c r="L140" s="1"/>
      <c r="M140" s="1"/>
    </row>
    <row r="141" spans="9:13" ht="12.75">
      <c r="I141" s="1"/>
      <c r="J141" s="1"/>
      <c r="K141" s="1"/>
      <c r="L141" s="1"/>
      <c r="M141" s="1"/>
    </row>
    <row r="142" spans="9:13" ht="12.75">
      <c r="I142" s="1"/>
      <c r="J142" s="1"/>
      <c r="K142" s="1"/>
      <c r="L142" s="1"/>
      <c r="M142" s="1"/>
    </row>
    <row r="143" spans="9:13" ht="12.75">
      <c r="I143" s="1"/>
      <c r="J143" s="1"/>
      <c r="K143" s="1"/>
      <c r="L143" s="1"/>
      <c r="M143" s="1"/>
    </row>
  </sheetData>
  <mergeCells count="4">
    <mergeCell ref="A1:J5"/>
    <mergeCell ref="K7:L7"/>
    <mergeCell ref="B33:C33"/>
    <mergeCell ref="X7:Z7"/>
  </mergeCells>
  <printOptions/>
  <pageMargins left="0.75" right="0.75" top="1" bottom="1" header="0.5" footer="0.5"/>
  <pageSetup fitToHeight="1" fitToWidth="1" horizontalDpi="600" verticalDpi="600" orientation="landscape" paperSize="17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S55"/>
  <sheetViews>
    <sheetView zoomScale="85" zoomScaleNormal="85" workbookViewId="0" topLeftCell="A1">
      <selection activeCell="M31" sqref="M31"/>
    </sheetView>
  </sheetViews>
  <sheetFormatPr defaultColWidth="9.140625" defaultRowHeight="12.75"/>
  <cols>
    <col min="4" max="4" width="10.28125" style="0" bestFit="1" customWidth="1"/>
    <col min="9" max="9" width="11.00390625" style="0" customWidth="1"/>
    <col min="10" max="10" width="12.7109375" style="0" customWidth="1"/>
  </cols>
  <sheetData>
    <row r="1" spans="1:10" ht="12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2.75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ht="12.7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2.75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ht="12.75">
      <c r="A5" s="37"/>
      <c r="B5" s="37"/>
      <c r="C5" s="37"/>
      <c r="D5" s="37"/>
      <c r="E5" s="37"/>
      <c r="F5" s="37"/>
      <c r="G5" s="37"/>
      <c r="H5" s="37"/>
      <c r="I5" s="37"/>
      <c r="J5" s="37"/>
    </row>
    <row r="7" spans="9:16" ht="12.75">
      <c r="I7" t="s">
        <v>1</v>
      </c>
      <c r="K7" s="38" t="s">
        <v>39</v>
      </c>
      <c r="L7" s="38"/>
      <c r="M7" s="1">
        <v>113</v>
      </c>
      <c r="N7" s="1" t="s">
        <v>40</v>
      </c>
      <c r="P7" t="s">
        <v>26</v>
      </c>
    </row>
    <row r="8" spans="1:14" ht="12.75">
      <c r="A8" t="s">
        <v>41</v>
      </c>
      <c r="K8" t="s">
        <v>75</v>
      </c>
      <c r="M8" s="1">
        <v>10</v>
      </c>
      <c r="N8" t="s">
        <v>76</v>
      </c>
    </row>
    <row r="9" spans="2:19" ht="12.75">
      <c r="B9" t="s">
        <v>42</v>
      </c>
      <c r="C9" t="s">
        <v>43</v>
      </c>
      <c r="E9" t="s">
        <v>47</v>
      </c>
      <c r="I9" t="s">
        <v>2</v>
      </c>
      <c r="J9" t="s">
        <v>3</v>
      </c>
      <c r="K9" t="s">
        <v>4</v>
      </c>
      <c r="L9" t="s">
        <v>5</v>
      </c>
      <c r="M9" t="s">
        <v>8</v>
      </c>
      <c r="N9" t="s">
        <v>9</v>
      </c>
      <c r="Q9" s="1" t="s">
        <v>27</v>
      </c>
      <c r="R9" s="1" t="s">
        <v>28</v>
      </c>
      <c r="S9" t="s">
        <v>29</v>
      </c>
    </row>
    <row r="10" spans="2:18" ht="12.75">
      <c r="B10" t="s">
        <v>44</v>
      </c>
      <c r="C10" t="s">
        <v>45</v>
      </c>
      <c r="E10" t="s">
        <v>46</v>
      </c>
      <c r="K10" t="s">
        <v>6</v>
      </c>
      <c r="Q10" s="1" t="s">
        <v>30</v>
      </c>
      <c r="R10" s="1" t="s">
        <v>30</v>
      </c>
    </row>
    <row r="11" spans="2:18" ht="12.75">
      <c r="B11" t="s">
        <v>48</v>
      </c>
      <c r="C11" t="s">
        <v>49</v>
      </c>
      <c r="E11" t="s">
        <v>50</v>
      </c>
      <c r="I11" t="s">
        <v>7</v>
      </c>
      <c r="J11" t="s">
        <v>10</v>
      </c>
      <c r="K11" s="1">
        <v>108</v>
      </c>
      <c r="L11" s="1">
        <v>16</v>
      </c>
      <c r="M11" s="1">
        <v>51.7</v>
      </c>
      <c r="N11" t="s">
        <v>24</v>
      </c>
      <c r="P11" t="s">
        <v>31</v>
      </c>
      <c r="Q11" s="1"/>
      <c r="R11" s="1"/>
    </row>
    <row r="12" spans="5:19" ht="12.75">
      <c r="E12" t="s">
        <v>51</v>
      </c>
      <c r="F12" t="s">
        <v>52</v>
      </c>
      <c r="I12" t="s">
        <v>7</v>
      </c>
      <c r="J12" t="s">
        <v>11</v>
      </c>
      <c r="K12" s="1">
        <v>71.3</v>
      </c>
      <c r="L12" s="1">
        <v>12.4</v>
      </c>
      <c r="M12" s="1">
        <v>59.2</v>
      </c>
      <c r="N12" t="s">
        <v>24</v>
      </c>
      <c r="P12" t="s">
        <v>18</v>
      </c>
      <c r="Q12" s="1">
        <v>231</v>
      </c>
      <c r="R12" s="1">
        <v>250</v>
      </c>
      <c r="S12" s="1" t="s">
        <v>34</v>
      </c>
    </row>
    <row r="13" spans="2:19" ht="12.75">
      <c r="B13" t="s">
        <v>53</v>
      </c>
      <c r="C13" t="s">
        <v>54</v>
      </c>
      <c r="F13" t="s">
        <v>55</v>
      </c>
      <c r="I13" t="s">
        <v>7</v>
      </c>
      <c r="J13" t="s">
        <v>12</v>
      </c>
      <c r="K13" s="1">
        <v>57.5</v>
      </c>
      <c r="L13" s="1">
        <v>15.7</v>
      </c>
      <c r="M13" s="1">
        <v>30.7</v>
      </c>
      <c r="N13" t="s">
        <v>25</v>
      </c>
      <c r="P13" t="s">
        <v>17</v>
      </c>
      <c r="Q13" s="1">
        <v>138</v>
      </c>
      <c r="R13" s="1">
        <v>150</v>
      </c>
      <c r="S13" s="1" t="s">
        <v>35</v>
      </c>
    </row>
    <row r="14" spans="6:19" ht="12.75">
      <c r="F14" t="s">
        <v>56</v>
      </c>
      <c r="I14" t="s">
        <v>7</v>
      </c>
      <c r="J14" t="s">
        <v>13</v>
      </c>
      <c r="K14" s="1">
        <v>53.6</v>
      </c>
      <c r="L14" s="1">
        <v>18.7</v>
      </c>
      <c r="M14" s="1"/>
      <c r="P14" t="s">
        <v>32</v>
      </c>
      <c r="Q14" s="1">
        <v>95</v>
      </c>
      <c r="R14" s="1">
        <v>106</v>
      </c>
      <c r="S14" s="1" t="s">
        <v>36</v>
      </c>
    </row>
    <row r="15" spans="2:19" ht="12.75">
      <c r="B15" t="s">
        <v>57</v>
      </c>
      <c r="C15" t="s">
        <v>59</v>
      </c>
      <c r="I15" t="s">
        <v>7</v>
      </c>
      <c r="J15" t="s">
        <v>14</v>
      </c>
      <c r="K15" s="1">
        <v>130.6</v>
      </c>
      <c r="L15" s="1">
        <v>10.6</v>
      </c>
      <c r="M15" s="1"/>
      <c r="P15" t="s">
        <v>16</v>
      </c>
      <c r="Q15" s="1">
        <v>58</v>
      </c>
      <c r="R15" s="1">
        <v>63</v>
      </c>
      <c r="S15" s="1" t="s">
        <v>37</v>
      </c>
    </row>
    <row r="16" spans="5:19" ht="12.75">
      <c r="E16" t="s">
        <v>58</v>
      </c>
      <c r="I16" t="s">
        <v>7</v>
      </c>
      <c r="J16" t="s">
        <v>15</v>
      </c>
      <c r="K16" s="1">
        <v>78.7</v>
      </c>
      <c r="L16" s="1">
        <v>15.7</v>
      </c>
      <c r="M16" s="1"/>
      <c r="P16" t="s">
        <v>15</v>
      </c>
      <c r="Q16" s="1">
        <v>36</v>
      </c>
      <c r="R16" s="1">
        <v>40</v>
      </c>
      <c r="S16" s="1"/>
    </row>
    <row r="17" spans="5:19" ht="12.75">
      <c r="E17" t="s">
        <v>60</v>
      </c>
      <c r="I17" t="s">
        <v>7</v>
      </c>
      <c r="J17" t="s">
        <v>16</v>
      </c>
      <c r="K17" s="1">
        <v>64</v>
      </c>
      <c r="L17" s="1">
        <v>12.5</v>
      </c>
      <c r="M17" s="1"/>
      <c r="P17" t="s">
        <v>33</v>
      </c>
      <c r="Q17" s="1">
        <v>12.5</v>
      </c>
      <c r="R17" s="1">
        <v>15</v>
      </c>
      <c r="S17" s="1"/>
    </row>
    <row r="18" spans="9:18" ht="12.75">
      <c r="I18" t="s">
        <v>7</v>
      </c>
      <c r="J18" t="s">
        <v>17</v>
      </c>
      <c r="K18" s="1">
        <v>53.7</v>
      </c>
      <c r="L18" s="1">
        <v>22.7</v>
      </c>
      <c r="M18" s="1"/>
      <c r="Q18" s="1"/>
      <c r="R18" s="1"/>
    </row>
    <row r="19" spans="9:18" ht="12.75">
      <c r="I19" t="s">
        <v>7</v>
      </c>
      <c r="J19" t="s">
        <v>18</v>
      </c>
      <c r="K19" s="1">
        <v>48.8</v>
      </c>
      <c r="L19" s="1">
        <v>11.1</v>
      </c>
      <c r="M19" s="1"/>
      <c r="P19" t="s">
        <v>38</v>
      </c>
      <c r="Q19" s="1"/>
      <c r="R19" s="1"/>
    </row>
    <row r="20" spans="1:18" ht="12.75">
      <c r="A20" t="s">
        <v>64</v>
      </c>
      <c r="E20" s="41" t="s">
        <v>174</v>
      </c>
      <c r="F20" s="42"/>
      <c r="G20" s="42"/>
      <c r="H20" s="43"/>
      <c r="I20" t="s">
        <v>7</v>
      </c>
      <c r="J20" t="s">
        <v>19</v>
      </c>
      <c r="K20" s="1">
        <v>293.8</v>
      </c>
      <c r="L20" s="1">
        <v>5.3</v>
      </c>
      <c r="M20" s="1"/>
      <c r="P20" t="s">
        <v>13</v>
      </c>
      <c r="Q20" s="1">
        <v>116</v>
      </c>
      <c r="R20" s="1">
        <v>149</v>
      </c>
    </row>
    <row r="21" spans="5:18" ht="12.75">
      <c r="E21" s="44"/>
      <c r="F21" s="45"/>
      <c r="G21" s="45"/>
      <c r="H21" s="46"/>
      <c r="I21" t="s">
        <v>7</v>
      </c>
      <c r="J21" t="s">
        <v>20</v>
      </c>
      <c r="K21" s="1">
        <v>219.8</v>
      </c>
      <c r="L21" s="1">
        <v>6</v>
      </c>
      <c r="M21" s="1"/>
      <c r="P21" t="s">
        <v>12</v>
      </c>
      <c r="Q21" s="1">
        <v>53</v>
      </c>
      <c r="R21" s="1">
        <v>84</v>
      </c>
    </row>
    <row r="22" spans="2:18" ht="12.75">
      <c r="B22" t="s">
        <v>65</v>
      </c>
      <c r="E22" s="47"/>
      <c r="F22" s="48"/>
      <c r="G22" s="48"/>
      <c r="H22" s="49"/>
      <c r="I22" t="s">
        <v>7</v>
      </c>
      <c r="J22" t="s">
        <v>21</v>
      </c>
      <c r="K22" s="1">
        <v>192.7</v>
      </c>
      <c r="L22" s="1">
        <v>10.7</v>
      </c>
      <c r="M22" s="1"/>
      <c r="P22" t="s">
        <v>11</v>
      </c>
      <c r="Q22" s="1">
        <v>29</v>
      </c>
      <c r="R22" s="1">
        <v>49</v>
      </c>
    </row>
    <row r="23" spans="4:18" ht="12.75">
      <c r="D23" s="1" t="s">
        <v>6</v>
      </c>
      <c r="E23" s="1"/>
      <c r="F23" s="1"/>
      <c r="I23" t="s">
        <v>23</v>
      </c>
      <c r="J23" t="s">
        <v>11</v>
      </c>
      <c r="K23" s="1">
        <v>66.6</v>
      </c>
      <c r="L23" s="1">
        <v>16.7</v>
      </c>
      <c r="M23" s="1"/>
      <c r="P23" t="s">
        <v>10</v>
      </c>
      <c r="Q23" s="1">
        <v>9</v>
      </c>
      <c r="R23" s="1">
        <v>19</v>
      </c>
    </row>
    <row r="24" spans="2:13" ht="12.75">
      <c r="B24" t="s">
        <v>66</v>
      </c>
      <c r="D24" s="1">
        <v>70.6</v>
      </c>
      <c r="E24" s="1">
        <v>30.4</v>
      </c>
      <c r="F24" s="1">
        <v>19.5</v>
      </c>
      <c r="I24" t="s">
        <v>22</v>
      </c>
      <c r="J24" t="s">
        <v>16</v>
      </c>
      <c r="K24" s="1">
        <v>63.9</v>
      </c>
      <c r="L24" s="1">
        <v>12.5</v>
      </c>
      <c r="M24" s="1"/>
    </row>
    <row r="25" spans="2:13" ht="12.75">
      <c r="B25" t="s">
        <v>67</v>
      </c>
      <c r="D25" s="2">
        <v>10000</v>
      </c>
      <c r="E25" t="s">
        <v>68</v>
      </c>
      <c r="I25" t="s">
        <v>22</v>
      </c>
      <c r="J25" t="s">
        <v>20</v>
      </c>
      <c r="K25" s="1">
        <v>291.6</v>
      </c>
      <c r="L25" s="1">
        <v>3.8</v>
      </c>
      <c r="M25" s="1"/>
    </row>
    <row r="26" spans="2:12" ht="12.75">
      <c r="B26" t="s">
        <v>69</v>
      </c>
      <c r="D26" s="2">
        <v>0.01</v>
      </c>
      <c r="I26" t="s">
        <v>84</v>
      </c>
      <c r="J26" t="s">
        <v>10</v>
      </c>
      <c r="K26" s="1">
        <v>32.8</v>
      </c>
      <c r="L26" s="1">
        <v>6.1</v>
      </c>
    </row>
    <row r="27" spans="2:16" ht="12.75">
      <c r="B27" t="s">
        <v>73</v>
      </c>
      <c r="D27" s="8">
        <f>30*365*24*3600</f>
        <v>946080000</v>
      </c>
      <c r="E27" t="s">
        <v>74</v>
      </c>
      <c r="I27" t="s">
        <v>84</v>
      </c>
      <c r="J27" t="s">
        <v>16</v>
      </c>
      <c r="K27" s="1">
        <v>27.2</v>
      </c>
      <c r="L27" s="1">
        <v>13.8</v>
      </c>
      <c r="P27" t="s">
        <v>61</v>
      </c>
    </row>
    <row r="28" spans="9:19" ht="12.75">
      <c r="I28" t="s">
        <v>85</v>
      </c>
      <c r="J28" t="s">
        <v>10</v>
      </c>
      <c r="K28" s="1">
        <v>43</v>
      </c>
      <c r="L28" s="1">
        <v>14.4</v>
      </c>
      <c r="M28" s="1">
        <v>13.6</v>
      </c>
      <c r="N28" t="s">
        <v>100</v>
      </c>
      <c r="Q28" t="s">
        <v>62</v>
      </c>
      <c r="S28" t="s">
        <v>63</v>
      </c>
    </row>
    <row r="29" spans="3:13" ht="12.75">
      <c r="C29" t="s">
        <v>70</v>
      </c>
      <c r="D29">
        <f>(D25/M7)^(1/E24)</f>
        <v>1.158893353909562</v>
      </c>
      <c r="I29" t="s">
        <v>86</v>
      </c>
      <c r="J29" t="s">
        <v>10</v>
      </c>
      <c r="K29" s="1">
        <v>70.6</v>
      </c>
      <c r="L29" s="1">
        <v>30.4</v>
      </c>
      <c r="M29" s="1">
        <v>19.5</v>
      </c>
    </row>
    <row r="30" spans="3:19" ht="12.75">
      <c r="C30" t="s">
        <v>71</v>
      </c>
      <c r="D30">
        <f>1/((LN(1/(1-D26)))^(1/E24))</f>
        <v>1.1633696888858924</v>
      </c>
      <c r="I30" t="s">
        <v>86</v>
      </c>
      <c r="J30" t="s">
        <v>16</v>
      </c>
      <c r="K30" s="1">
        <v>50.3</v>
      </c>
      <c r="L30" s="1">
        <v>13.3</v>
      </c>
      <c r="M30" s="1"/>
      <c r="Q30" t="s">
        <v>81</v>
      </c>
      <c r="R30" s="1">
        <v>1.611</v>
      </c>
      <c r="S30" t="s">
        <v>82</v>
      </c>
    </row>
    <row r="31" spans="3:18" ht="12.75">
      <c r="C31" t="s">
        <v>72</v>
      </c>
      <c r="D31">
        <f>(D27/M8)^(1/F24)</f>
        <v>2.5646136038195566</v>
      </c>
      <c r="I31" t="s">
        <v>86</v>
      </c>
      <c r="J31" t="s">
        <v>20</v>
      </c>
      <c r="K31" s="1">
        <v>234.7</v>
      </c>
      <c r="L31" s="1">
        <v>4.1</v>
      </c>
      <c r="M31" s="1"/>
      <c r="Q31" t="s">
        <v>83</v>
      </c>
      <c r="R31" s="3">
        <f>38-2.6*R30</f>
        <v>33.8114</v>
      </c>
    </row>
    <row r="32" spans="9:13" ht="12.75">
      <c r="I32" t="s">
        <v>87</v>
      </c>
      <c r="J32" t="s">
        <v>10</v>
      </c>
      <c r="K32" s="1">
        <v>68.9</v>
      </c>
      <c r="L32" s="1">
        <v>14.1</v>
      </c>
      <c r="M32" s="1">
        <v>26.3</v>
      </c>
    </row>
    <row r="33" spans="2:13" ht="15">
      <c r="B33" s="39" t="s">
        <v>77</v>
      </c>
      <c r="C33" s="39"/>
      <c r="D33" s="5">
        <f>D24/(D29*D30*D31)</f>
        <v>20.418392264144636</v>
      </c>
      <c r="E33" s="4" t="s">
        <v>78</v>
      </c>
      <c r="I33" t="s">
        <v>88</v>
      </c>
      <c r="J33" t="s">
        <v>10</v>
      </c>
      <c r="K33" s="1">
        <v>58.9</v>
      </c>
      <c r="L33" s="1">
        <v>8.2</v>
      </c>
      <c r="M33" s="1">
        <v>18.2</v>
      </c>
    </row>
    <row r="34" spans="3:13" ht="12.75">
      <c r="C34" t="s">
        <v>79</v>
      </c>
      <c r="D34" s="6">
        <f>D33*1000000/6895</f>
        <v>2961.333178266082</v>
      </c>
      <c r="E34" t="s">
        <v>80</v>
      </c>
      <c r="I34" t="s">
        <v>89</v>
      </c>
      <c r="J34" t="s">
        <v>10</v>
      </c>
      <c r="K34" s="1">
        <v>62.3</v>
      </c>
      <c r="L34" s="1">
        <v>19.3</v>
      </c>
      <c r="M34" s="1">
        <v>21.6</v>
      </c>
    </row>
    <row r="35" spans="9:13" ht="12.75">
      <c r="I35" t="s">
        <v>90</v>
      </c>
      <c r="J35" t="s">
        <v>10</v>
      </c>
      <c r="K35" s="1">
        <v>70</v>
      </c>
      <c r="L35" s="1">
        <v>29.9</v>
      </c>
      <c r="M35" s="1">
        <v>23.4</v>
      </c>
    </row>
    <row r="36" spans="9:13" ht="12.75">
      <c r="I36" t="s">
        <v>91</v>
      </c>
      <c r="J36" t="s">
        <v>10</v>
      </c>
      <c r="K36" s="1">
        <v>64.8</v>
      </c>
      <c r="L36" s="1">
        <v>9.3</v>
      </c>
      <c r="M36" s="1">
        <v>21.6</v>
      </c>
    </row>
    <row r="37" spans="9:13" ht="12.75">
      <c r="I37" t="s">
        <v>92</v>
      </c>
      <c r="J37" t="s">
        <v>10</v>
      </c>
      <c r="K37" s="1">
        <v>74.9</v>
      </c>
      <c r="L37" s="1">
        <v>7.5</v>
      </c>
      <c r="M37" s="1">
        <v>23.2</v>
      </c>
    </row>
    <row r="38" spans="9:13" ht="12.75">
      <c r="I38" t="s">
        <v>93</v>
      </c>
      <c r="J38" t="s">
        <v>10</v>
      </c>
      <c r="K38" s="1">
        <v>64.7</v>
      </c>
      <c r="L38" s="1">
        <v>17.9</v>
      </c>
      <c r="M38" s="1">
        <v>17.5</v>
      </c>
    </row>
    <row r="39" spans="9:13" ht="12.75">
      <c r="I39" t="s">
        <v>99</v>
      </c>
      <c r="J39" t="s">
        <v>10</v>
      </c>
      <c r="K39" s="1">
        <v>57.1</v>
      </c>
      <c r="L39" s="1">
        <v>25</v>
      </c>
      <c r="M39" s="1">
        <v>15.4</v>
      </c>
    </row>
    <row r="40" spans="9:13" ht="12.75">
      <c r="I40" t="s">
        <v>94</v>
      </c>
      <c r="J40" t="s">
        <v>10</v>
      </c>
      <c r="K40" s="1">
        <v>70.1</v>
      </c>
      <c r="L40" s="1">
        <v>23.9</v>
      </c>
      <c r="M40" s="1">
        <v>19</v>
      </c>
    </row>
    <row r="41" spans="9:13" ht="12.75">
      <c r="I41" t="s">
        <v>95</v>
      </c>
      <c r="J41" t="s">
        <v>10</v>
      </c>
      <c r="K41" s="1">
        <v>56.6</v>
      </c>
      <c r="L41" s="1">
        <v>20.1</v>
      </c>
      <c r="M41" s="1">
        <v>16.9</v>
      </c>
    </row>
    <row r="42" spans="9:13" ht="12.75">
      <c r="I42" t="s">
        <v>96</v>
      </c>
      <c r="J42" t="s">
        <v>10</v>
      </c>
      <c r="K42" s="1">
        <v>75.9</v>
      </c>
      <c r="L42" s="1">
        <v>28.6</v>
      </c>
      <c r="M42" s="1">
        <v>21.9</v>
      </c>
    </row>
    <row r="43" spans="9:13" ht="12.75">
      <c r="I43" t="s">
        <v>97</v>
      </c>
      <c r="J43" t="s">
        <v>10</v>
      </c>
      <c r="K43" s="1">
        <v>50</v>
      </c>
      <c r="L43" s="1">
        <v>13.1</v>
      </c>
      <c r="M43" s="1">
        <v>22.7</v>
      </c>
    </row>
    <row r="44" spans="9:13" ht="12.75">
      <c r="I44" t="s">
        <v>98</v>
      </c>
      <c r="J44" t="s">
        <v>10</v>
      </c>
      <c r="K44" s="1">
        <v>79.5</v>
      </c>
      <c r="L44" s="1">
        <v>24.9</v>
      </c>
      <c r="M44" s="1">
        <v>21.9</v>
      </c>
    </row>
    <row r="45" spans="9:13" ht="12.75">
      <c r="I45" t="s">
        <v>101</v>
      </c>
      <c r="J45" t="s">
        <v>10</v>
      </c>
      <c r="K45" s="1">
        <v>55.3</v>
      </c>
      <c r="L45" s="1">
        <v>10.6</v>
      </c>
      <c r="M45" s="1">
        <v>16.7</v>
      </c>
    </row>
    <row r="46" spans="9:13" ht="12.75">
      <c r="I46" t="s">
        <v>102</v>
      </c>
      <c r="J46" t="s">
        <v>10</v>
      </c>
      <c r="K46" s="1">
        <v>49.2</v>
      </c>
      <c r="L46" s="1">
        <v>5.4</v>
      </c>
      <c r="M46" s="1">
        <v>16.9</v>
      </c>
    </row>
    <row r="47" spans="9:13" ht="12.75">
      <c r="I47" t="s">
        <v>103</v>
      </c>
      <c r="J47" t="s">
        <v>10</v>
      </c>
      <c r="K47" s="1">
        <v>57.3</v>
      </c>
      <c r="L47" s="1">
        <v>21.9</v>
      </c>
      <c r="M47" s="1">
        <v>14.6</v>
      </c>
    </row>
    <row r="48" spans="9:13" ht="12.75">
      <c r="I48" t="s">
        <v>104</v>
      </c>
      <c r="J48" t="s">
        <v>10</v>
      </c>
      <c r="K48" s="1">
        <v>39.1</v>
      </c>
      <c r="L48" s="1">
        <v>14.7</v>
      </c>
      <c r="M48" s="1">
        <v>16.4</v>
      </c>
    </row>
    <row r="49" spans="9:13" ht="12.75">
      <c r="I49" t="s">
        <v>105</v>
      </c>
      <c r="J49" t="s">
        <v>10</v>
      </c>
      <c r="K49" s="1">
        <v>32.8</v>
      </c>
      <c r="L49" s="1">
        <v>19.5</v>
      </c>
      <c r="M49" s="1">
        <v>14.6</v>
      </c>
    </row>
    <row r="50" spans="9:13" ht="12.75">
      <c r="I50" t="s">
        <v>106</v>
      </c>
      <c r="J50" t="s">
        <v>10</v>
      </c>
      <c r="K50" s="1">
        <v>49.4</v>
      </c>
      <c r="L50" s="1">
        <v>25.5</v>
      </c>
      <c r="M50" s="1">
        <v>26.3</v>
      </c>
    </row>
    <row r="51" spans="9:13" ht="12.75">
      <c r="I51" t="s">
        <v>107</v>
      </c>
      <c r="J51" t="s">
        <v>10</v>
      </c>
      <c r="K51" s="1">
        <v>63.4</v>
      </c>
      <c r="L51" s="1">
        <v>4.4</v>
      </c>
      <c r="M51" s="1">
        <v>16.4</v>
      </c>
    </row>
    <row r="52" spans="9:13" ht="12.75">
      <c r="I52" t="s">
        <v>108</v>
      </c>
      <c r="J52" t="s">
        <v>10</v>
      </c>
      <c r="K52" s="1">
        <v>61.4</v>
      </c>
      <c r="L52" s="1">
        <v>11.3</v>
      </c>
      <c r="M52" s="1">
        <v>24.2</v>
      </c>
    </row>
    <row r="53" spans="9:12" ht="12.75">
      <c r="I53" t="s">
        <v>109</v>
      </c>
      <c r="J53" t="s">
        <v>10</v>
      </c>
      <c r="K53" s="1">
        <v>14.2</v>
      </c>
      <c r="L53" s="1">
        <v>16.1</v>
      </c>
    </row>
    <row r="54" spans="9:13" ht="12.75">
      <c r="I54" t="s">
        <v>110</v>
      </c>
      <c r="J54" t="s">
        <v>10</v>
      </c>
      <c r="K54" s="1">
        <v>80.9</v>
      </c>
      <c r="L54" s="1">
        <v>26.9</v>
      </c>
      <c r="M54" s="1">
        <v>18.1</v>
      </c>
    </row>
    <row r="55" spans="9:13" ht="12.75">
      <c r="I55" t="s">
        <v>111</v>
      </c>
      <c r="J55" t="s">
        <v>10</v>
      </c>
      <c r="K55" s="1">
        <v>75.7</v>
      </c>
      <c r="L55" s="1">
        <v>14.9</v>
      </c>
      <c r="M55" s="1">
        <v>30.5</v>
      </c>
    </row>
  </sheetData>
  <mergeCells count="4">
    <mergeCell ref="A1:J5"/>
    <mergeCell ref="K7:L7"/>
    <mergeCell ref="B33:C33"/>
    <mergeCell ref="E20:H2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Steward Observatory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bcuerden</dc:creator>
  <cp:keywords/>
  <dc:description/>
  <cp:lastModifiedBy>Jim Burge</cp:lastModifiedBy>
  <cp:lastPrinted>2005-01-13T19:55:09Z</cp:lastPrinted>
  <dcterms:created xsi:type="dcterms:W3CDTF">2004-04-06T20:13:37Z</dcterms:created>
  <dcterms:modified xsi:type="dcterms:W3CDTF">2007-02-19T17:49:38Z</dcterms:modified>
  <cp:category/>
  <cp:version/>
  <cp:contentType/>
  <cp:contentStatus/>
</cp:coreProperties>
</file>